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Summary " sheetId="1" r:id="rId1"/>
    <sheet name="Pallet 1" sheetId="2" r:id="rId2"/>
    <sheet name="Pallet 2" sheetId="3" r:id="rId3"/>
    <sheet name="Pallet 3" sheetId="4" r:id="rId4"/>
    <sheet name="Pallet 4" sheetId="5" r:id="rId5"/>
    <sheet name="Pallet 5" sheetId="6" r:id="rId6"/>
    <sheet name="Pallet 6" sheetId="7" r:id="rId7"/>
    <sheet name="Pallet 7" sheetId="8" r:id="rId8"/>
    <sheet name="Pallet 8" sheetId="9" r:id="rId9"/>
    <sheet name="Pallet 9" sheetId="10" r:id="rId10"/>
    <sheet name="Pallet 10" sheetId="11" r:id="rId11"/>
    <sheet name="Pallet 11" sheetId="12" r:id="rId12"/>
    <sheet name="Pallet 12" sheetId="13" r:id="rId13"/>
    <sheet name="Pallet 13" sheetId="14" r:id="rId14"/>
    <sheet name="Pallet 14" sheetId="15" r:id="rId15"/>
    <sheet name="Pallet 15" sheetId="17" r:id="rId16"/>
    <sheet name="Pallet 16" sheetId="18" r:id="rId17"/>
    <sheet name="Pallet 17" sheetId="19" r:id="rId18"/>
    <sheet name="Pallet 18" sheetId="20" r:id="rId19"/>
    <sheet name="Pallet 19" sheetId="21" r:id="rId20"/>
    <sheet name="Pallet 20" sheetId="22" r:id="rId21"/>
    <sheet name="Pallet 21" sheetId="23" r:id="rId22"/>
    <sheet name="Pallet 22" sheetId="24" r:id="rId23"/>
    <sheet name="Pallet 23" sheetId="25" r:id="rId24"/>
  </sheets>
  <calcPr calcId="181029"/>
</workbook>
</file>

<file path=xl/calcChain.xml><?xml version="1.0" encoding="utf-8"?>
<calcChain xmlns="http://schemas.openxmlformats.org/spreadsheetml/2006/main">
  <c r="L56" i="25" l="1"/>
  <c r="L55" i="25"/>
  <c r="L54" i="25"/>
  <c r="L53" i="25"/>
  <c r="L52" i="25"/>
  <c r="L51" i="25"/>
  <c r="L50" i="25"/>
  <c r="L49" i="25"/>
  <c r="L48" i="25"/>
  <c r="L47" i="25"/>
  <c r="L46" i="25"/>
  <c r="L45" i="25"/>
  <c r="L44" i="25"/>
  <c r="L43" i="25"/>
  <c r="L42" i="25"/>
  <c r="L41" i="25"/>
  <c r="L40" i="25"/>
  <c r="L39" i="25"/>
  <c r="L38" i="25"/>
  <c r="L37" i="25"/>
  <c r="L36" i="25"/>
  <c r="L35" i="25"/>
  <c r="L34" i="25"/>
  <c r="L33" i="25"/>
  <c r="L32" i="25"/>
  <c r="L31" i="25"/>
  <c r="L30" i="25"/>
  <c r="L29" i="25"/>
  <c r="L28" i="25"/>
  <c r="L27" i="25"/>
  <c r="L26" i="25"/>
  <c r="L25" i="25"/>
  <c r="L24" i="25"/>
  <c r="L23" i="25"/>
  <c r="L22" i="25"/>
  <c r="L21" i="25"/>
  <c r="L20" i="25"/>
  <c r="L19" i="25"/>
  <c r="L18" i="25"/>
  <c r="L17" i="25"/>
  <c r="L16" i="25"/>
  <c r="L15" i="25"/>
  <c r="L14" i="25"/>
  <c r="L13" i="25"/>
  <c r="L12" i="25"/>
  <c r="L11" i="25"/>
  <c r="L10" i="25"/>
  <c r="L9" i="25"/>
  <c r="L8" i="25"/>
  <c r="L7" i="25"/>
  <c r="L6" i="25"/>
  <c r="L5" i="25"/>
  <c r="L4" i="25"/>
  <c r="L3" i="25"/>
  <c r="L2" i="25"/>
  <c r="L39" i="24"/>
  <c r="L38" i="24"/>
  <c r="L37" i="24"/>
  <c r="L36" i="24"/>
  <c r="L35" i="24"/>
  <c r="L34" i="24"/>
  <c r="L33" i="24"/>
  <c r="L32" i="24"/>
  <c r="L31" i="24"/>
  <c r="L30" i="24"/>
  <c r="L29" i="24"/>
  <c r="L28" i="24"/>
  <c r="L27" i="24"/>
  <c r="L26" i="24"/>
  <c r="L25" i="24"/>
  <c r="L24" i="24"/>
  <c r="L23" i="24"/>
  <c r="L22" i="24"/>
  <c r="L21" i="24"/>
  <c r="L20" i="24"/>
  <c r="L19" i="24"/>
  <c r="L18" i="24"/>
  <c r="L17" i="24"/>
  <c r="L16" i="24"/>
  <c r="L15" i="24"/>
  <c r="L14" i="24"/>
  <c r="L13" i="24"/>
  <c r="L12" i="24"/>
  <c r="L11" i="24"/>
  <c r="L10" i="24"/>
  <c r="L9" i="24"/>
  <c r="L8" i="24"/>
  <c r="L7" i="24"/>
  <c r="L6" i="24"/>
  <c r="L5" i="24"/>
  <c r="L4" i="24"/>
  <c r="L3" i="24"/>
  <c r="L2" i="24"/>
  <c r="L51" i="23"/>
  <c r="L50" i="23"/>
  <c r="L49" i="23"/>
  <c r="L48" i="23"/>
  <c r="L47" i="23"/>
  <c r="L46" i="23"/>
  <c r="L45" i="23"/>
  <c r="L44" i="23"/>
  <c r="L43" i="23"/>
  <c r="L42" i="23"/>
  <c r="L41" i="23"/>
  <c r="L40" i="23"/>
  <c r="L39" i="23"/>
  <c r="L38" i="23"/>
  <c r="L37" i="23"/>
  <c r="L36" i="23"/>
  <c r="L35" i="23"/>
  <c r="L34" i="23"/>
  <c r="L33" i="23"/>
  <c r="L32" i="23"/>
  <c r="L31" i="23"/>
  <c r="L30" i="23"/>
  <c r="L29" i="23"/>
  <c r="L28" i="23"/>
  <c r="L27" i="23"/>
  <c r="L26" i="23"/>
  <c r="L25" i="23"/>
  <c r="L24" i="23"/>
  <c r="L23" i="23"/>
  <c r="L22" i="23"/>
  <c r="L21" i="23"/>
  <c r="L20" i="23"/>
  <c r="L19" i="23"/>
  <c r="L18" i="23"/>
  <c r="L17" i="23"/>
  <c r="L16" i="23"/>
  <c r="L15" i="23"/>
  <c r="L14" i="23"/>
  <c r="L13" i="23"/>
  <c r="L12" i="23"/>
  <c r="L11" i="23"/>
  <c r="L10" i="23"/>
  <c r="L9" i="23"/>
  <c r="L8" i="23"/>
  <c r="L7" i="23"/>
  <c r="L6" i="23"/>
  <c r="L5" i="23"/>
  <c r="L4" i="23"/>
  <c r="L3" i="23"/>
  <c r="L2" i="23"/>
  <c r="L80" i="22"/>
  <c r="L79" i="22"/>
  <c r="L78" i="22"/>
  <c r="L77" i="22"/>
  <c r="L76" i="22"/>
  <c r="L75" i="22"/>
  <c r="L74" i="22"/>
  <c r="L73" i="22"/>
  <c r="L72" i="22"/>
  <c r="L71" i="22"/>
  <c r="L7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L5" i="22"/>
  <c r="L4" i="22"/>
  <c r="L3" i="22"/>
  <c r="L2" i="22"/>
  <c r="L63" i="21"/>
  <c r="L62" i="21"/>
  <c r="L61" i="21"/>
  <c r="L60" i="21"/>
  <c r="L59" i="21"/>
  <c r="L58" i="21"/>
  <c r="L57" i="21"/>
  <c r="L56" i="21"/>
  <c r="L55" i="21"/>
  <c r="L54" i="21"/>
  <c r="L53" i="21"/>
  <c r="L52" i="21"/>
  <c r="L51" i="21"/>
  <c r="L50" i="21"/>
  <c r="L49" i="21"/>
  <c r="L48" i="21"/>
  <c r="L47" i="21"/>
  <c r="L46" i="21"/>
  <c r="L45" i="21"/>
  <c r="L44" i="21"/>
  <c r="L43" i="21"/>
  <c r="L42" i="21"/>
  <c r="L41" i="21"/>
  <c r="L40" i="21"/>
  <c r="L39" i="21"/>
  <c r="L38" i="21"/>
  <c r="L37" i="21"/>
  <c r="L36" i="21"/>
  <c r="L35" i="21"/>
  <c r="L34" i="21"/>
  <c r="L33" i="21"/>
  <c r="L32" i="21"/>
  <c r="L31" i="21"/>
  <c r="L30" i="21"/>
  <c r="L29" i="21"/>
  <c r="L28" i="21"/>
  <c r="L27" i="21"/>
  <c r="L26" i="21"/>
  <c r="L25" i="21"/>
  <c r="L24" i="21"/>
  <c r="L23" i="21"/>
  <c r="L22" i="21"/>
  <c r="L21" i="21"/>
  <c r="L20" i="21"/>
  <c r="L19" i="21"/>
  <c r="L18" i="21"/>
  <c r="L17" i="21"/>
  <c r="L16" i="21"/>
  <c r="L15" i="21"/>
  <c r="L14" i="21"/>
  <c r="L13" i="21"/>
  <c r="L12" i="21"/>
  <c r="L11" i="21"/>
  <c r="L10" i="21"/>
  <c r="L9" i="21"/>
  <c r="L8" i="21"/>
  <c r="L7" i="21"/>
  <c r="L6" i="21"/>
  <c r="L5" i="21"/>
  <c r="L4" i="21"/>
  <c r="L3" i="21"/>
  <c r="L2" i="21"/>
  <c r="L36" i="20"/>
  <c r="L35" i="20"/>
  <c r="L34" i="20"/>
  <c r="L33" i="20"/>
  <c r="L32" i="20"/>
  <c r="L31" i="20"/>
  <c r="L30" i="20"/>
  <c r="L29" i="20"/>
  <c r="L28" i="20"/>
  <c r="L27" i="20"/>
  <c r="L26" i="20"/>
  <c r="L25" i="20"/>
  <c r="L24" i="20"/>
  <c r="L23" i="20"/>
  <c r="L22" i="20"/>
  <c r="L21" i="20"/>
  <c r="L20" i="20"/>
  <c r="L19" i="20"/>
  <c r="L18" i="20"/>
  <c r="L17" i="20"/>
  <c r="L16" i="20"/>
  <c r="L15" i="20"/>
  <c r="L14" i="20"/>
  <c r="L13" i="20"/>
  <c r="L12" i="20"/>
  <c r="L11" i="20"/>
  <c r="L10" i="20"/>
  <c r="L9" i="20"/>
  <c r="L8" i="20"/>
  <c r="L7" i="20"/>
  <c r="L6" i="20"/>
  <c r="L5" i="20"/>
  <c r="L4" i="20"/>
  <c r="L3" i="20"/>
  <c r="L2" i="20"/>
  <c r="L78" i="19"/>
  <c r="L77" i="19"/>
  <c r="L76" i="19"/>
  <c r="L75" i="19"/>
  <c r="L74" i="19"/>
  <c r="L73" i="19"/>
  <c r="L72" i="19"/>
  <c r="L71" i="19"/>
  <c r="L70" i="19"/>
  <c r="L69" i="19"/>
  <c r="L68" i="19"/>
  <c r="L67" i="19"/>
  <c r="L66" i="19"/>
  <c r="L65" i="19"/>
  <c r="L64" i="19"/>
  <c r="L63" i="19"/>
  <c r="L62" i="19"/>
  <c r="L61" i="19"/>
  <c r="L60" i="19"/>
  <c r="L59" i="19"/>
  <c r="L58" i="19"/>
  <c r="L57" i="19"/>
  <c r="L56" i="19"/>
  <c r="L55" i="19"/>
  <c r="L54" i="19"/>
  <c r="L53" i="19"/>
  <c r="L52" i="19"/>
  <c r="L51" i="19"/>
  <c r="L50" i="19"/>
  <c r="L49" i="19"/>
  <c r="L48" i="19"/>
  <c r="L47" i="19"/>
  <c r="L46" i="19"/>
  <c r="L45" i="19"/>
  <c r="L44" i="19"/>
  <c r="L43" i="19"/>
  <c r="L42" i="19"/>
  <c r="L41" i="19"/>
  <c r="L40" i="19"/>
  <c r="L39" i="19"/>
  <c r="L38" i="19"/>
  <c r="L37" i="19"/>
  <c r="L36" i="19"/>
  <c r="L35" i="19"/>
  <c r="L34" i="19"/>
  <c r="L33" i="19"/>
  <c r="L32" i="19"/>
  <c r="L31" i="19"/>
  <c r="L30" i="19"/>
  <c r="L29" i="19"/>
  <c r="L28" i="19"/>
  <c r="L27" i="19"/>
  <c r="L26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L8" i="19"/>
  <c r="L7" i="19"/>
  <c r="L6" i="19"/>
  <c r="L5" i="19"/>
  <c r="L4" i="19"/>
  <c r="L3" i="19"/>
  <c r="L2" i="19"/>
  <c r="L45" i="18"/>
  <c r="L44" i="18"/>
  <c r="L43" i="18"/>
  <c r="L42" i="18"/>
  <c r="L41" i="18"/>
  <c r="L40" i="18"/>
  <c r="L39" i="18"/>
  <c r="L38" i="18"/>
  <c r="L37" i="18"/>
  <c r="L36" i="18"/>
  <c r="L35" i="18"/>
  <c r="L34" i="18"/>
  <c r="L33" i="18"/>
  <c r="L32" i="18"/>
  <c r="L31" i="18"/>
  <c r="L30" i="18"/>
  <c r="L29" i="18"/>
  <c r="L28" i="18"/>
  <c r="L27" i="18"/>
  <c r="L26" i="18"/>
  <c r="L25" i="18"/>
  <c r="L24" i="18"/>
  <c r="L23" i="18"/>
  <c r="L22" i="18"/>
  <c r="L21" i="18"/>
  <c r="L20" i="18"/>
  <c r="L19" i="18"/>
  <c r="L18" i="18"/>
  <c r="L17" i="18"/>
  <c r="L16" i="18"/>
  <c r="L15" i="18"/>
  <c r="L14" i="18"/>
  <c r="L13" i="18"/>
  <c r="L12" i="18"/>
  <c r="L11" i="18"/>
  <c r="L10" i="18"/>
  <c r="L9" i="18"/>
  <c r="L8" i="18"/>
  <c r="L7" i="18"/>
  <c r="L6" i="18"/>
  <c r="L5" i="18"/>
  <c r="L4" i="18"/>
  <c r="L3" i="18"/>
  <c r="L2" i="18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L5" i="17"/>
  <c r="L4" i="17"/>
  <c r="L3" i="17"/>
  <c r="L2" i="17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4" i="15"/>
  <c r="L3" i="15"/>
  <c r="L2" i="15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L4" i="14"/>
  <c r="L3" i="14"/>
  <c r="L2" i="14"/>
  <c r="N49" i="13"/>
  <c r="N48" i="13"/>
  <c r="N47" i="13"/>
  <c r="N46" i="13"/>
  <c r="N45" i="13"/>
  <c r="N44" i="13"/>
  <c r="N43" i="13"/>
  <c r="N42" i="13"/>
  <c r="N41" i="13"/>
  <c r="N40" i="13"/>
  <c r="N39" i="13"/>
  <c r="N38" i="13"/>
  <c r="N37" i="13"/>
  <c r="N36" i="13"/>
  <c r="N35" i="13"/>
  <c r="N34" i="13"/>
  <c r="N33" i="13"/>
  <c r="N32" i="13"/>
  <c r="N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5" i="13"/>
  <c r="N4" i="13"/>
  <c r="N3" i="13"/>
  <c r="N2" i="13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L4" i="12"/>
  <c r="L3" i="12"/>
  <c r="L2" i="12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2" i="10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2" i="9"/>
  <c r="D39" i="2"/>
  <c r="C39" i="2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L2" i="7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" i="6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L3" i="3"/>
  <c r="L2" i="3"/>
  <c r="B25" i="1"/>
  <c r="A25" i="1"/>
</calcChain>
</file>

<file path=xl/sharedStrings.xml><?xml version="1.0" encoding="utf-8"?>
<sst xmlns="http://schemas.openxmlformats.org/spreadsheetml/2006/main" count="8506" uniqueCount="3381">
  <si>
    <t>Pem America Seashells 3-Pc. Reversible Kin Navy Blue King</t>
  </si>
  <si>
    <t>CS3913KG-1540</t>
  </si>
  <si>
    <t>783048140159</t>
  </si>
  <si>
    <t>Pem America Monochromatic 2-Pc. Floral-Pri Black Twin</t>
  </si>
  <si>
    <t>CS3908TW-1540</t>
  </si>
  <si>
    <t>783048141361</t>
  </si>
  <si>
    <t>Pem America Cherry Blossom 2-Pc. Reversibl Red Twin</t>
  </si>
  <si>
    <t>CS3929TW-1540</t>
  </si>
  <si>
    <t>810026172793</t>
  </si>
  <si>
    <t>Cheer Collection Faux Fur 18 x 18 Throw Pillo Grey 18x18</t>
  </si>
  <si>
    <t>CC-FFPLW2PK-GRY</t>
  </si>
  <si>
    <t>FAUX FUR</t>
  </si>
  <si>
    <t>29927550221</t>
  </si>
  <si>
    <t>Sun Zero Oslo 52 x 84 Theater Grade E Grey 52x84</t>
  </si>
  <si>
    <t>810026172762</t>
  </si>
  <si>
    <t>Cheer Collection Faux Fur 18 x 18 Throw Pillo Black 18x18</t>
  </si>
  <si>
    <t>CC-FFPLW2PK-BLK</t>
  </si>
  <si>
    <t>847636044462</t>
  </si>
  <si>
    <t>Mytex Deena 3-Pc. Reversible FullQu Blueyellow FullQueen</t>
  </si>
  <si>
    <t>DEENA3PCQ</t>
  </si>
  <si>
    <t>646760084159</t>
  </si>
  <si>
    <t>Jean Pierre Stonewash Racetrack 21x34 Bath White 21 x 34</t>
  </si>
  <si>
    <t>YMB006478</t>
  </si>
  <si>
    <t>CREATIVE HOME IDEAS/YMF CARPET INC</t>
  </si>
  <si>
    <t>86569363398</t>
  </si>
  <si>
    <t>Martha Stewart Collection Martha Stewart Essentials Reve Burgundy TwinTwin XL</t>
  </si>
  <si>
    <t>91116725505</t>
  </si>
  <si>
    <t>Sanders Holiday Microfiber 5 Piece Que Holly Berry Queen</t>
  </si>
  <si>
    <t>HDYSS1Q</t>
  </si>
  <si>
    <t>849203004015</t>
  </si>
  <si>
    <t>PKaufmann Home Quilted Faux Suede Bed Protect Natural Twin</t>
  </si>
  <si>
    <t>SBEDPTW</t>
  </si>
  <si>
    <t>733001947790</t>
  </si>
  <si>
    <t>Martha Stewart Collection Flora Fauna Yarn Dye Patchwork Pink Standard Sham</t>
  </si>
  <si>
    <t>100115787ST</t>
  </si>
  <si>
    <t>784857883367</t>
  </si>
  <si>
    <t>Idea Nuova Coleman Cotton 2-Pc. Hotel Bor Gray No Size</t>
  </si>
  <si>
    <t>K698233</t>
  </si>
  <si>
    <t>22415211048</t>
  </si>
  <si>
    <t>Sealy Sealy Dream Lux Soft Pillow, K White</t>
  </si>
  <si>
    <t>766370173736</t>
  </si>
  <si>
    <t>Hotel Collection Cotton Reversible 21 x 33 Ru ivory 21 x 33</t>
  </si>
  <si>
    <t>HCOTR2X3I</t>
  </si>
  <si>
    <t>706258596738</t>
  </si>
  <si>
    <t>Charter Club Ultra Fine Cotton 800-Thread C White Standard Pillowcases</t>
  </si>
  <si>
    <t>T800SPCWHT</t>
  </si>
  <si>
    <t>22415248426</t>
  </si>
  <si>
    <t>AllerEase Fresh and Cool Allergy Protect White Queen</t>
  </si>
  <si>
    <t>WHITE COCONUT CHARCOAL POLYESTER, COTTON</t>
  </si>
  <si>
    <t>91116718958</t>
  </si>
  <si>
    <t>Sanders Printed Microfiber Queen Sheet Chevron Queen</t>
  </si>
  <si>
    <t>PM3SSQ</t>
  </si>
  <si>
    <t>91116694801</t>
  </si>
  <si>
    <t>Jessica Sanders Solid Microfiber Queen Sheet S White Queen</t>
  </si>
  <si>
    <t>SM3SSQ</t>
  </si>
  <si>
    <t>732996250106</t>
  </si>
  <si>
    <t>Charter Club Superluxe 300-Thread Count Sof White King</t>
  </si>
  <si>
    <t>100069246KG</t>
  </si>
  <si>
    <t>732999785247</t>
  </si>
  <si>
    <t>Hotel Collection Ultimate MicroCotton Symmetry Blue Night Fall Bath Towels</t>
  </si>
  <si>
    <t>29927257670</t>
  </si>
  <si>
    <t>No. 918 No. 918 Sheer Voile 59 x 95 Taupe 59x95</t>
  </si>
  <si>
    <t>46249646708</t>
  </si>
  <si>
    <t>Tommy Hilfiger Modern American 30 x 54 Cott Raspberry Bath Towels</t>
  </si>
  <si>
    <t>27T0465-BT-R1-D1</t>
  </si>
  <si>
    <t>636193687768</t>
  </si>
  <si>
    <t>Martha Stewart Collection Spa Bath Towel Melon Bath Towels</t>
  </si>
  <si>
    <t>MSPLSHBMEL</t>
  </si>
  <si>
    <t>636193687652</t>
  </si>
  <si>
    <t>Martha Stewart Collection Spa Bath Towel Aloe Bath Towels</t>
  </si>
  <si>
    <t>MSPLSHBALO</t>
  </si>
  <si>
    <t>190945084903</t>
  </si>
  <si>
    <t>Levtex Montecito Floral Reversible Ki Multi King</t>
  </si>
  <si>
    <t>L11840KS</t>
  </si>
  <si>
    <t>883893683457</t>
  </si>
  <si>
    <t>Kenneth Cole New York Kenneth Cole New York Miro Sol Medium Pink King</t>
  </si>
  <si>
    <t>USHSA01159182</t>
  </si>
  <si>
    <t>800014173413</t>
  </si>
  <si>
    <t>White Birch Wedding Ring Cotton 3-Pc. Tuft White King</t>
  </si>
  <si>
    <t>24631904CMS-WHT-MA</t>
  </si>
  <si>
    <t>855031120247</t>
  </si>
  <si>
    <t>Superior Superior Premium Kids Hooded B Blue Small-Medium</t>
  </si>
  <si>
    <t>ROBE KID BLUE SM</t>
  </si>
  <si>
    <t>HOME CITY INC</t>
  </si>
  <si>
    <t>732996465197</t>
  </si>
  <si>
    <t>100067900KG</t>
  </si>
  <si>
    <t>675716438036</t>
  </si>
  <si>
    <t>Madison Park Serene 7-Pc. Queen Comforter S Blue Queen</t>
  </si>
  <si>
    <t>MP10-336</t>
  </si>
  <si>
    <t>COMFORTER/SHAM/BEDSKIRT (DROP AND PLATFORM)/PILLOW: POLYESTER; COMFORTER FILL: POLYESTER; PILLOW FILL: POLYESTER</t>
  </si>
  <si>
    <t>732995895391</t>
  </si>
  <si>
    <t>Hotel Collection Metallic Stone FullQueen Duve Gold FullQueen</t>
  </si>
  <si>
    <t>100038519FQ</t>
  </si>
  <si>
    <t>FABRIC: POLYESTER/RAYON; REVERSES TO COTTON</t>
  </si>
  <si>
    <t>732995096002</t>
  </si>
  <si>
    <t>Martha Stewart Collection Sawtooth Star Artisan Twin Qui Blue Twin</t>
  </si>
  <si>
    <t>100047324TW</t>
  </si>
  <si>
    <t>780870693372</t>
  </si>
  <si>
    <t>AURA - BATH SHEET 40 BASIC</t>
  </si>
  <si>
    <t>794BTHSHWIR</t>
  </si>
  <si>
    <t>883893534261</t>
  </si>
  <si>
    <t>City Scene Penelope FullQueen Comforter Pastel Pink FullQueen</t>
  </si>
  <si>
    <t>USHSA51020892</t>
  </si>
  <si>
    <t>POLYESTER, COTTON/POLYESTER FILL</t>
  </si>
  <si>
    <t>733001843726</t>
  </si>
  <si>
    <t>Charter Club Amara 300-Thread Count 3-Pc. P Navy FullQueen</t>
  </si>
  <si>
    <t>100115576FQ</t>
  </si>
  <si>
    <t>722970125438</t>
  </si>
  <si>
    <t>Puredown Puredown Pillow Set of 2 King White King</t>
  </si>
  <si>
    <t>PD FP 17002 K</t>
  </si>
  <si>
    <t>SHELL - 100 % COTTON, STUFFING - 100 % DOWN FIBER</t>
  </si>
  <si>
    <t>732994719438</t>
  </si>
  <si>
    <t>Hotel Collection Cotton SmallMedium Spa Robe Grey Slate LXL</t>
  </si>
  <si>
    <t>843145110629</t>
  </si>
  <si>
    <t>Chic Home Chic Home Shalya 4-Pc. Queen Q Grey FullQueen</t>
  </si>
  <si>
    <t>BQS10629-MC</t>
  </si>
  <si>
    <t>FABRIC: 100% POLYESTER MICROFIBERFILL: 100% POLYESTER</t>
  </si>
  <si>
    <t>848742082393</t>
  </si>
  <si>
    <t>Lush Decor Faux Linen 84x52 Absolute ou Charcoal ONE SIZE</t>
  </si>
  <si>
    <t>16T003993</t>
  </si>
  <si>
    <t>732998869405</t>
  </si>
  <si>
    <t>Martha Stewart Collection Country Flora Patchwork Revers Blue TwinTwin XL</t>
  </si>
  <si>
    <t>100079754TW</t>
  </si>
  <si>
    <t>810006715965</t>
  </si>
  <si>
    <t>Enchante Home Hooded Turkish Cotton Bathrobe Navy ONE SIZE</t>
  </si>
  <si>
    <t>HOODNVY</t>
  </si>
  <si>
    <t>ENCHANTE HOME/TURKO TEXTILE LLC</t>
  </si>
  <si>
    <t>810006715903</t>
  </si>
  <si>
    <t>Enchante Home Shawl Collar Turkish Cotton Ba White ONE SIZE</t>
  </si>
  <si>
    <t>SHWLWHT</t>
  </si>
  <si>
    <t>815584029114</t>
  </si>
  <si>
    <t>FLAIR SOFT STD</t>
  </si>
  <si>
    <t>BMI-18676L-SS</t>
  </si>
  <si>
    <t>100% COTTON COVER; FILL: DOWN</t>
  </si>
  <si>
    <t>13964294705</t>
  </si>
  <si>
    <t>Ella Jayne Soft Plush Gusseted Soft Gel F White Queen</t>
  </si>
  <si>
    <t>BMI6748L3</t>
  </si>
  <si>
    <t>86569069559</t>
  </si>
  <si>
    <t>Martha Stewart Collection Down Alternative Reverse to Pl Zinfandel King</t>
  </si>
  <si>
    <t>675716866211</t>
  </si>
  <si>
    <t>Mi Zone Pipeline 4-Pc. FullQueen Duve Navy FullQueen</t>
  </si>
  <si>
    <t>MZ12-504</t>
  </si>
  <si>
    <t>DUVET COVER/SHAM/PILLOW COVER: POLYESTER; PILLOW FILL: POLYESTER</t>
  </si>
  <si>
    <t>840970154910</t>
  </si>
  <si>
    <t>Cathay Home Inc. Oversize Lightweight Quilt Set Light Blue KingCalifornia King</t>
  </si>
  <si>
    <t>918915-KCK</t>
  </si>
  <si>
    <t>734737619500</t>
  </si>
  <si>
    <t>Fairfield Square Collection Carmen Reversible 8-Pc. Comfor Multi California King</t>
  </si>
  <si>
    <t>96675361133</t>
  </si>
  <si>
    <t>BioPEDIC Ultra-Fresh Luxury Gusseted Pi White King</t>
  </si>
  <si>
    <t>810031411368</t>
  </si>
  <si>
    <t>Happycare Textiles Happycare Textiles Soft Knitte Blush NO SIZE</t>
  </si>
  <si>
    <t>86569045614</t>
  </si>
  <si>
    <t>Intelligent Design Intelligent Design Azza 20 x Aqua 20x20</t>
  </si>
  <si>
    <t>ID31-1526</t>
  </si>
  <si>
    <t>100% POLYESTER CHENILLE</t>
  </si>
  <si>
    <t>784857909906</t>
  </si>
  <si>
    <t>Idea Nuova Holiday Poinsettia 17-Pc. Bath Multi No Size</t>
  </si>
  <si>
    <t>YK699435</t>
  </si>
  <si>
    <t>788904130435</t>
  </si>
  <si>
    <t>Royal Luxe Royal Luxe Microfiber Color Do Navy King</t>
  </si>
  <si>
    <t>29927566734</t>
  </si>
  <si>
    <t>Sun Zero Beck 52 x 84 Textured Geomet Navy 52x84</t>
  </si>
  <si>
    <t>735837576427</t>
  </si>
  <si>
    <t>733001259503</t>
  </si>
  <si>
    <t>Martha Stewart Collection Plush Bath Robe White ONE SIZE</t>
  </si>
  <si>
    <t>610406820876</t>
  </si>
  <si>
    <t>Homey Cozy Homey Cozy Carly Applique Embr Green 20x20</t>
  </si>
  <si>
    <t>71159-GREEN</t>
  </si>
  <si>
    <t>679610755497</t>
  </si>
  <si>
    <t>Hallmart Collectibles Amanda 3-Pc. Reversible FullQ Multi FullQueen</t>
  </si>
  <si>
    <t>10482003307</t>
  </si>
  <si>
    <t>Fresh Ideas Poplin Tailored Queen Bed Skir White Queen</t>
  </si>
  <si>
    <t>FRE20114WHIT03</t>
  </si>
  <si>
    <t>BEDSKIRT: POLYESTER/COTTON; PLATFORM: POLYPROPYLENE</t>
  </si>
  <si>
    <t>29927407259</t>
  </si>
  <si>
    <t>No. 918 Sheer Voile 59 x 216 Scarf V Charcoal No Size</t>
  </si>
  <si>
    <t>29927566901</t>
  </si>
  <si>
    <t>Sun Zero Cyrus 40 x 84 Thermal Blacko Navy 40x84</t>
  </si>
  <si>
    <t>732994072397</t>
  </si>
  <si>
    <t>10029647QN</t>
  </si>
  <si>
    <t>10482036398</t>
  </si>
  <si>
    <t>Magic Skirt Tailored Queen Bed Skirt Navy Queen</t>
  </si>
  <si>
    <t>FRE-245-14-NAVY-03</t>
  </si>
  <si>
    <t>791551838692</t>
  </si>
  <si>
    <t>Berkshire Berkshire Classic Velvety Plus Sage Geo FullQueen</t>
  </si>
  <si>
    <t>16534-FQ-YH1</t>
  </si>
  <si>
    <t>734737473249</t>
  </si>
  <si>
    <t>Lacoste Legend 30 x 54 Supima Cotton Sand Bath Towels</t>
  </si>
  <si>
    <t>T16825N623054</t>
  </si>
  <si>
    <t>SUPIMA COTTON LOOPS/COTTON GROUND</t>
  </si>
  <si>
    <t>806222684376</t>
  </si>
  <si>
    <t>Divatex Cotton Textured Quick-Dry 27 Green Bath Towels</t>
  </si>
  <si>
    <t>2750118-BT-G1-O42</t>
  </si>
  <si>
    <t>732999788422</t>
  </si>
  <si>
    <t>Hotel Collection Parallel FullQueen Coverlet, Blue FullQueen</t>
  </si>
  <si>
    <t>100099207QN</t>
  </si>
  <si>
    <t>191790041455</t>
  </si>
  <si>
    <t>AQ Textiles Camden 1250 thread count 4 pc Ivory California King</t>
  </si>
  <si>
    <t>25552105003AQT</t>
  </si>
  <si>
    <t>734737637603</t>
  </si>
  <si>
    <t>Fairfield Square Collection Aspen T1000 CVC Queen Extra De White Queen</t>
  </si>
  <si>
    <t>732999754328</t>
  </si>
  <si>
    <t>Martha Stewart Collection Tufted Crushed Velvet 24 Squa Pink</t>
  </si>
  <si>
    <t>855031120308</t>
  </si>
  <si>
    <t>Superior Superior Premium Kids Hooded B Light Green Small-Medium</t>
  </si>
  <si>
    <t>ROBE KID SAGE SM</t>
  </si>
  <si>
    <t>846339080418</t>
  </si>
  <si>
    <t>J Queen New York J Queen New York Astoria King White King</t>
  </si>
  <si>
    <t>2236020KCS</t>
  </si>
  <si>
    <t>846339030178</t>
  </si>
  <si>
    <t>J Queen New York J Queen New York Marquis Queen Cream Queen</t>
  </si>
  <si>
    <t>1519002QCS</t>
  </si>
  <si>
    <t>3606270035246</t>
  </si>
  <si>
    <t>BIG 1X/5X STAND MIRR BASIC</t>
  </si>
  <si>
    <t>BATH BAZAAR USA INC-MCYNET CONSIGN</t>
  </si>
  <si>
    <t>86569023841</t>
  </si>
  <si>
    <t>JLA Home Madison Park Isla Queen 8 Piec Blue Queen</t>
  </si>
  <si>
    <t>MP10-5803</t>
  </si>
  <si>
    <t>COMFORTER/SHAM - 144TC COTTON PERCALE, 132TC COTTON/POLYESTER REVERSE, DECORATIVE PILLOW/BEDSKIRT/EURO SHAM - COTTON/POLYESTER, COMFORTER/DECORATIVE PILLOW FILL - 100% POLYESTER</t>
  </si>
  <si>
    <t>675716979256</t>
  </si>
  <si>
    <t>Madison Park Camelia 8-Pc. Queen Comforter Natural Queen</t>
  </si>
  <si>
    <t>MP10-4688</t>
  </si>
  <si>
    <t>FABRIC: POLYESTER; COMFORTER/PILLOW FILL: POLYESTER 85 GSM</t>
  </si>
  <si>
    <t>848742078679</t>
  </si>
  <si>
    <t>Lush Decor Leah Floral 52 x 95 Curtain Coral 52x95</t>
  </si>
  <si>
    <t>16T003560</t>
  </si>
  <si>
    <t>41808859834</t>
  </si>
  <si>
    <t>Urban Playground Daphne Reversible 4-Pc. Twin C Multi Twin</t>
  </si>
  <si>
    <t>A010917PKEAS</t>
  </si>
  <si>
    <t>675716745844</t>
  </si>
  <si>
    <t>Madison Park Madison Park Aubrey Paisley 50 Champagne 50x108</t>
  </si>
  <si>
    <t>MP40-2679</t>
  </si>
  <si>
    <t>675716998493</t>
  </si>
  <si>
    <t>Urban Habitat Kids Finn 4-Pc. TwinTwin XL D GreenNavy TwinTwin XL</t>
  </si>
  <si>
    <t>UHK12-0038</t>
  </si>
  <si>
    <t>DUVET FACE/SHAM FACE: COTTON; REVERSE: COTTON; PILLOW SHELL: COTTON; PILLOW FILL: POLYESTER</t>
  </si>
  <si>
    <t>86569174819</t>
  </si>
  <si>
    <t>Madison Park Cassandra FullQueen 3 Piece C Blush FullQueen</t>
  </si>
  <si>
    <t>MP12-6167</t>
  </si>
  <si>
    <t>726895696394</t>
  </si>
  <si>
    <t>Hotel Collection Voile European Sham Grey European Sham</t>
  </si>
  <si>
    <t>100024683ER</t>
  </si>
  <si>
    <t>636757131263</t>
  </si>
  <si>
    <t>BAG ALL WET POUCH</t>
  </si>
  <si>
    <t>WET STUFF POUCH</t>
  </si>
  <si>
    <t>BAG ALL</t>
  </si>
  <si>
    <t>780870645371</t>
  </si>
  <si>
    <t>FILO S/2 BASIC</t>
  </si>
  <si>
    <t>784TIPTWLWIV</t>
  </si>
  <si>
    <t>MADE IN LITHUANIA</t>
  </si>
  <si>
    <t>LINEN</t>
  </si>
  <si>
    <t>86569902818</t>
  </si>
  <si>
    <t>SunSmart Mirage 50 x 84 Damask Total Grey 50x84</t>
  </si>
  <si>
    <t>SS40-0016</t>
  </si>
  <si>
    <t>675716669881</t>
  </si>
  <si>
    <t>Madison Park Zuri Reversible Oversized 60 Chocolate 60x70</t>
  </si>
  <si>
    <t>MP50-1912</t>
  </si>
  <si>
    <t>675716488260</t>
  </si>
  <si>
    <t>Madison Park Emilia 50 x 84 Lined Faux-Si Champagne 50x84</t>
  </si>
  <si>
    <t>WIN40-116</t>
  </si>
  <si>
    <t>675716488291</t>
  </si>
  <si>
    <t>Madison Park Emilia 50 x 84 Lined Faux-Si Dusty Aqua 50x84</t>
  </si>
  <si>
    <t>WIN40-117</t>
  </si>
  <si>
    <t>9339296032794</t>
  </si>
  <si>
    <t>CATALINA PICNIC SET</t>
  </si>
  <si>
    <t>S8DLOVCL</t>
  </si>
  <si>
    <t>SUNNYLIFE LLC</t>
  </si>
  <si>
    <t>POLYESTER/STAINLESS STEEL</t>
  </si>
  <si>
    <t>846339074844</t>
  </si>
  <si>
    <t>J Queen New York Satinique Quilted King Sham Natural King Sham</t>
  </si>
  <si>
    <t>2179048KGQSH</t>
  </si>
  <si>
    <t>675716918057</t>
  </si>
  <si>
    <t>Madison Park Dawn Cotton 60 x 36 Printed Blue 30x36</t>
  </si>
  <si>
    <t>MP40-4292</t>
  </si>
  <si>
    <t>86569901880</t>
  </si>
  <si>
    <t>Madison Park Duke 20 Square Faux-Fur Decor Blush 20x20</t>
  </si>
  <si>
    <t>MP30-4963</t>
  </si>
  <si>
    <t>FAUX-FUR FACE: POLYESTER 300 GRAMS PER SQUARE METER; FAUX-FUR REVERSE: POLYESTER 180 GRAMS PER SQUARE METER; POLYESTER FILL</t>
  </si>
  <si>
    <t>86569916822</t>
  </si>
  <si>
    <t>Madison Park Aubrey 50 x 18 Beaded Jacqua Black 50 x 18</t>
  </si>
  <si>
    <t>MP41-4989</t>
  </si>
  <si>
    <t>100% POLYESTER JACQUARD, LINING: 100% POLYESTER, TRIMS: GOLD BEADS</t>
  </si>
  <si>
    <t>693614011502</t>
  </si>
  <si>
    <t>Ella Jayne Big and Soft Fiber Bed Mattres White Twin</t>
  </si>
  <si>
    <t>EJHFBBS1</t>
  </si>
  <si>
    <t>885308080639</t>
  </si>
  <si>
    <t>Eclipse Eclipse Thermaliner Panel Pair White ONE SIZE</t>
  </si>
  <si>
    <t>10332054X060WH</t>
  </si>
  <si>
    <t>29927463767</t>
  </si>
  <si>
    <t>No. 918 Eves Garden 54 x 38 Pair of White 54x38</t>
  </si>
  <si>
    <t>9339296034149</t>
  </si>
  <si>
    <t>TUMBLER NINTENDO</t>
  </si>
  <si>
    <t>S8ETUMNT</t>
  </si>
  <si>
    <t>POLYSTYRENE/ACRYLONITRILE STYRENE RESIN</t>
  </si>
  <si>
    <t>76389296457</t>
  </si>
  <si>
    <t>CHF Battenburg 30 x 24 Cafe Cur Ecru 30x24</t>
  </si>
  <si>
    <t>1-428601EC</t>
  </si>
  <si>
    <t>TRCTN82X54</t>
  </si>
  <si>
    <t>885308748812</t>
  </si>
  <si>
    <t>Keeco Vue Window Solutions Kingsbury Natural 52x36</t>
  </si>
  <si>
    <t>18500052036NAT</t>
  </si>
  <si>
    <t>76389296563</t>
  </si>
  <si>
    <t>CHF Battenburg 60 x 14 Valance White 60x14</t>
  </si>
  <si>
    <t>1-428600WT</t>
  </si>
  <si>
    <t>11 PLT SGL</t>
  </si>
  <si>
    <t>10482002942</t>
  </si>
  <si>
    <t>Fresh Ideas Fitted Vinyl Mattress Protecto White Full</t>
  </si>
  <si>
    <t>FRE111XXWHIT02</t>
  </si>
  <si>
    <t>VINYL</t>
  </si>
  <si>
    <t>746885344494</t>
  </si>
  <si>
    <t>Miller Curtains Window Treatments, Preston Rod Beige 51x84</t>
  </si>
  <si>
    <t>WC70344400284</t>
  </si>
  <si>
    <t>21864200238</t>
  </si>
  <si>
    <t>Avanti Rosefan Fingertip Towel, 11x Ivory</t>
  </si>
  <si>
    <t>005414IVR</t>
  </si>
  <si>
    <t>651896521263</t>
  </si>
  <si>
    <t>Morgan Home Polka Dots Galore Sheet Set Pink Twin</t>
  </si>
  <si>
    <t>M521263</t>
  </si>
  <si>
    <t>675716748159</t>
  </si>
  <si>
    <t>Madison Park Essentials Brystol 24-Pc. King BlueBrown King</t>
  </si>
  <si>
    <t>MPE10-224</t>
  </si>
  <si>
    <t>675716942342</t>
  </si>
  <si>
    <t>Madison Park Essentials Essentials Joella Queen 24-Pc. Taupe Queen</t>
  </si>
  <si>
    <t>MPE10-476</t>
  </si>
  <si>
    <t>COMFORTER/SHAM/BEDSKIRT/EUROPEAN SHAM/PILLOW COVER/WINDOW PANELS/TIEBACKS/WINDOW VALANCE: POLYESTER; SHEET SET: POLYESTER 85 GRAMS PER SQUARE METER; COMFORTER FILL: POLYESTER 270 GRAMS PER SQUARE METER; PILLOW: POLYESTER FILL</t>
  </si>
  <si>
    <t>675716736491</t>
  </si>
  <si>
    <t>Harbor House Harbor House Coastline 5-Pc. F Khaki FullQueen</t>
  </si>
  <si>
    <t>HH12-1545</t>
  </si>
  <si>
    <t>DUVET/SHAM FACE/PILLOW SHELL: 100% COTTON JACQUARD, DUVET/SHAM REVERSE: 100% COTTON PERCALE; PILLOW FILL: POLYESTER</t>
  </si>
  <si>
    <t>30955228747</t>
  </si>
  <si>
    <t>Christopher Knight Christopher Knight Pebbletex O White Queen</t>
  </si>
  <si>
    <t>MPOSP7680-CK</t>
  </si>
  <si>
    <t>100% ORGANIC COTTON</t>
  </si>
  <si>
    <t>86569023308</t>
  </si>
  <si>
    <t>Madison Park Essentials Maible Reversible 9-Pc. King C Aqua King</t>
  </si>
  <si>
    <t>MPE10-730</t>
  </si>
  <si>
    <t>636193538404</t>
  </si>
  <si>
    <t>Hotel Collection Piece Dye Queen Flat Sheet Natural Queen</t>
  </si>
  <si>
    <t>100027469QN</t>
  </si>
  <si>
    <t>675716746063</t>
  </si>
  <si>
    <t>Madison Park Madison Park Adeline Paisley 6 Black FullQueen</t>
  </si>
  <si>
    <t>MP13-2694</t>
  </si>
  <si>
    <t>COVERLET, SHAMS AND DECORATIVE PILLOWS: POLYESTER; COMFORTER FILL: COTTON/POLYESTER/OTHER FIBERS 240 GRAMS PER SQUARE METER; DECORATIVE PILLOWS FILL: POLYESTER</t>
  </si>
  <si>
    <t>732997123980</t>
  </si>
  <si>
    <t>Lucky Brand Lucky Brand Faux Kantha Quilt Beigekhaki Throw</t>
  </si>
  <si>
    <t>726895969894</t>
  </si>
  <si>
    <t>Hotel Collection Madison King Sham Oatmeal King Sham</t>
  </si>
  <si>
    <t>100023632KG</t>
  </si>
  <si>
    <t>LINEN; LACE AND STITCHING: COTTON</t>
  </si>
  <si>
    <t>800298644647</t>
  </si>
  <si>
    <t>Donna Karan Casual Luxe Cotton Quilted Sta Gold Standard Sham</t>
  </si>
  <si>
    <t>CLQ001169SAA</t>
  </si>
  <si>
    <t>675716783914</t>
  </si>
  <si>
    <t>Madison Park Duke Reversible 3-Pc. FullQue Black FullQueen</t>
  </si>
  <si>
    <t>MP10-3064</t>
  </si>
  <si>
    <t>27399034300</t>
  </si>
  <si>
    <t>VELLUX SHEARED LMWBK</t>
  </si>
  <si>
    <t>AW7Z034300</t>
  </si>
  <si>
    <t>27399034270</t>
  </si>
  <si>
    <t>AW7Z034270</t>
  </si>
  <si>
    <t>709271377681</t>
  </si>
  <si>
    <t>CK MODERN COTTON BOD BASIC</t>
  </si>
  <si>
    <t>131BODY-KG-G1-D3</t>
  </si>
  <si>
    <t>COTTON/MODAL®</t>
  </si>
  <si>
    <t>675716482244</t>
  </si>
  <si>
    <t>Madison Park Windom King Microfiber Down Al Ivory King</t>
  </si>
  <si>
    <t>MP51-540</t>
  </si>
  <si>
    <t>FABRIC: POLYESTER; FILL: POLYESTER</t>
  </si>
  <si>
    <t>86569092489</t>
  </si>
  <si>
    <t>JLA Home Intelligent Design Oxford Full Grey FullQueen</t>
  </si>
  <si>
    <t>ID10-1581</t>
  </si>
  <si>
    <t>COMFORTER/SHAM - 100% POLYESTER SOFT BRUSHED MICROFIBER, 85GSM, WITH TAPING ON FACE COMFORTER FILL - 200GSM POLYESTER</t>
  </si>
  <si>
    <t>734737474963</t>
  </si>
  <si>
    <t>Lacoste Home Solid Percale Full Sheet Set Plum Full</t>
  </si>
  <si>
    <t>675716573119</t>
  </si>
  <si>
    <t>Madison Park Madison Park Andora 50 x 95 Blue 50x95</t>
  </si>
  <si>
    <t>MP40-1297</t>
  </si>
  <si>
    <t>675716502997</t>
  </si>
  <si>
    <t>Madison Park Madison Park Andora 50 x 95 White 50x95</t>
  </si>
  <si>
    <t>MP40-718</t>
  </si>
  <si>
    <t>675716774134</t>
  </si>
  <si>
    <t>Madison Park Averil 50 x 95 Sheer Burnout White 50x95</t>
  </si>
  <si>
    <t>MP40-3008</t>
  </si>
  <si>
    <t>FABRIC: RAYON/POLYESTER</t>
  </si>
  <si>
    <t>732996193236</t>
  </si>
  <si>
    <t>Hotel Collection Locked Geo Cotton 26 x 26 Eu White European Sham</t>
  </si>
  <si>
    <t>100064696ER</t>
  </si>
  <si>
    <t>86569284792</t>
  </si>
  <si>
    <t>Madison Park Madison Park Cameron 50 x 84 Mocha 50x84</t>
  </si>
  <si>
    <t>MP40-6610</t>
  </si>
  <si>
    <t>675716650803</t>
  </si>
  <si>
    <t>Madison Park Ultra Premium Plush King Blank Tan King</t>
  </si>
  <si>
    <t>MP51-1703</t>
  </si>
  <si>
    <t>734737474956</t>
  </si>
  <si>
    <t>Lacoste Home Solid Percale Twin Sheet Set Plum Twin</t>
  </si>
  <si>
    <t>675716708313</t>
  </si>
  <si>
    <t>Madison Park Irina 50 x 95 Embroidered Di WhiteGrey 50x95</t>
  </si>
  <si>
    <t>MP40-2331</t>
  </si>
  <si>
    <t>675716665722</t>
  </si>
  <si>
    <t>Madison Park Ogee 60 x 70 Oversized Down- Tan 60x70</t>
  </si>
  <si>
    <t>MP50-1855</t>
  </si>
  <si>
    <t>675716850067</t>
  </si>
  <si>
    <t>Madison Park Eden 50 x 95 Fretwork Burnou White 50x95</t>
  </si>
  <si>
    <t>MP40-3775</t>
  </si>
  <si>
    <t>783048024039</t>
  </si>
  <si>
    <t>Truly Soft Truly Soft Everyday White Full Khaki FullQueen</t>
  </si>
  <si>
    <t>DCS1657KHFQ-18</t>
  </si>
  <si>
    <t>646998689775</t>
  </si>
  <si>
    <t>Martha Stewart Collection Annabelle Pole Top 50 x 84 C Linen 50x84</t>
  </si>
  <si>
    <t>1-20050GLE</t>
  </si>
  <si>
    <t>732996989013</t>
  </si>
  <si>
    <t>Martha Stewart Collection Chateau Standard Sham Medium Purple Standard Sham</t>
  </si>
  <si>
    <t>100017564ST</t>
  </si>
  <si>
    <t>FRONT: COTTON; BACK: POLYESTER; FILL: COTTON</t>
  </si>
  <si>
    <t>29927440775</t>
  </si>
  <si>
    <t>No. 918 Silvia Crushed Sheer 50 x 84 Marine 50x84</t>
  </si>
  <si>
    <t>29927440232</t>
  </si>
  <si>
    <t>Sun Zero Sun Zero Preston 40 x 63 Gro Black 40x63</t>
  </si>
  <si>
    <t>29927480511</t>
  </si>
  <si>
    <t>Sun Zero Sun Zero Preston 40 x 63 Gro Mineral 40x63</t>
  </si>
  <si>
    <t>29927287424</t>
  </si>
  <si>
    <t>No. 918 CLOSEOUT Joy Lace 60 x 24 P White 60x24</t>
  </si>
  <si>
    <t>60X5X24/2</t>
  </si>
  <si>
    <t>706255367430</t>
  </si>
  <si>
    <t>Hotel Collection Tile Diamond 16 x 30 Hand To Vapor Combo Hand Towels</t>
  </si>
  <si>
    <t>726895142631</t>
  </si>
  <si>
    <t>Hotel Collection Ultimate MicroCotton Mingled S Lake Combo Blue Hand Towels</t>
  </si>
  <si>
    <t>726895142655</t>
  </si>
  <si>
    <t>Hotel Collection Ultimate MicroCotton Mingled S Vapor Combo Grey Washcloths</t>
  </si>
  <si>
    <t>79465029659</t>
  </si>
  <si>
    <t>Utica Essential Cotton Washcloth Basil No Size</t>
  </si>
  <si>
    <t>GH41T260692</t>
  </si>
  <si>
    <t>79465029642</t>
  </si>
  <si>
    <t>Utica Essential Cotton Washcloth Ivory No Size</t>
  </si>
  <si>
    <t>732995009392</t>
  </si>
  <si>
    <t>Charter Club Cotton 13 x 13 Wash Towel Dream Cloud Blue Washcloths</t>
  </si>
  <si>
    <t>Intelligent Design Intelligent Design Magnolia Ki Gold KingCalifornia King</t>
  </si>
  <si>
    <t>ID12-1969</t>
  </si>
  <si>
    <t>679610834796</t>
  </si>
  <si>
    <t>Hallmart Collectibles Wenings 12-Pc. Reversible Quee Icybluewhite Queen</t>
  </si>
  <si>
    <t>86093545611</t>
  </si>
  <si>
    <t>Mohawk Mohawk Comfort Wine 1 6 L X Multi 18 x 30</t>
  </si>
  <si>
    <t>4052-17702-018030</t>
  </si>
  <si>
    <t>30X18</t>
  </si>
  <si>
    <t>AMERICAN RUG-MOHAWK INDUSTRIES</t>
  </si>
  <si>
    <t>733001994237</t>
  </si>
  <si>
    <t>Martha Stewart Collection Spring Bird 2-Pc. 11 x 18 Fi White Combo</t>
  </si>
  <si>
    <t>100118415TP</t>
  </si>
  <si>
    <t>848742087626</t>
  </si>
  <si>
    <t>Lush Decor Ruffle Diamond 3-Piece FullQu Grey FullQueen</t>
  </si>
  <si>
    <t>16T004452</t>
  </si>
  <si>
    <t>883893284180</t>
  </si>
  <si>
    <t>DIAMOND MATELASSE KGCVLTBASIC</t>
  </si>
  <si>
    <t>VERA WANG/REVMAN INTERNATIONAL INC</t>
  </si>
  <si>
    <t>86569062031</t>
  </si>
  <si>
    <t>Harbor House Anslee FullQueen 3-Pc. Comfor Taupe FullQueen</t>
  </si>
  <si>
    <t>HH10-1689</t>
  </si>
  <si>
    <t>FABRIC: COTTON; POLYESTER FILL (COMFORTER)</t>
  </si>
  <si>
    <t>886087340303</t>
  </si>
  <si>
    <t>Lauren Ralph Lauren Marley Cotton Reversible 120-T Multi FullQueen</t>
  </si>
  <si>
    <t>732995626841</t>
  </si>
  <si>
    <t>Hotel Collection Woodrose Cotton 400-Thread Cou Pink King</t>
  </si>
  <si>
    <t>100041750KG</t>
  </si>
  <si>
    <t>FABRIC: 100% COTTON; THREAD COUNT: 400</t>
  </si>
  <si>
    <t>675716809508</t>
  </si>
  <si>
    <t>Madison Park Madison Park Harper Velvet 3-P Ivory KingCalifornia King</t>
  </si>
  <si>
    <t>MP13-3302</t>
  </si>
  <si>
    <t>675716740023</t>
  </si>
  <si>
    <t>Madison Park Ashbury 5-Pc. Reversible Quilt Blue Queen</t>
  </si>
  <si>
    <t>MP13-2628</t>
  </si>
  <si>
    <t>BEDSPREAD AND SHAMS: MICROFIBER FROM POLYESTER 85 GRAMS PER SQUARE METER; DECORATIVE PILLOWS: POLYESTER; POLYESTER FILL; BEDSPREAD FILL: POLYESTER</t>
  </si>
  <si>
    <t>22415035149</t>
  </si>
  <si>
    <t>AllerEase Ultimate Protection Temperatur White Queen</t>
  </si>
  <si>
    <t>735732259074</t>
  </si>
  <si>
    <t>VCNY Home Windsor Reversible 5-Pc. Queen Multi Queen</t>
  </si>
  <si>
    <t>WIN-5QT-QUEN-IN-MULT</t>
  </si>
  <si>
    <t>636202836200</t>
  </si>
  <si>
    <t>HP PIQUE KNIT ROB XL BASIC</t>
  </si>
  <si>
    <t>726895416534</t>
  </si>
  <si>
    <t>Hotel Collection Gilded Geo 20 Square Decorati Light Beige</t>
  </si>
  <si>
    <t>636189334072</t>
  </si>
  <si>
    <t>Martha Stewart Collection Cotton 27 x 45 Rug Grey</t>
  </si>
  <si>
    <t>MSCOT2X4GY</t>
  </si>
  <si>
    <t>810001364229</t>
  </si>
  <si>
    <t>Southshore Fine Linens Southshore Fine Linens Oversiz Blue KingCalifornia King</t>
  </si>
  <si>
    <t>VIL-QLT-BLU-K</t>
  </si>
  <si>
    <t>DOUBLE - BRUSHED 110 GSM MICROFIBER</t>
  </si>
  <si>
    <t>734737474970</t>
  </si>
  <si>
    <t>Lacoste Home Solid Percale Queen Sheet Set Plum Queen</t>
  </si>
  <si>
    <t>734737425767</t>
  </si>
  <si>
    <t>Lacoste Home Solid Percale Queen Sheet Set Allure Blue Queen</t>
  </si>
  <si>
    <t>86569227904</t>
  </si>
  <si>
    <t>Martha Stewart Collection Down Alternative Reverse to Pl Blue Moon FullQueen</t>
  </si>
  <si>
    <t>10028644FQ</t>
  </si>
  <si>
    <t>732994892766</t>
  </si>
  <si>
    <t>Martha Stewart Collection 14 x 48 Decorative Pillow Pink</t>
  </si>
  <si>
    <t>MARTHA STEWART-EDI/ABHI-ASMI INTL</t>
  </si>
  <si>
    <t>COTTON; FILLING: POLYESTER</t>
  </si>
  <si>
    <t>191956171767</t>
  </si>
  <si>
    <t>Deny Designs Deny Designs Iveta Abolina Bur Red</t>
  </si>
  <si>
    <t>65185-OBPI23</t>
  </si>
  <si>
    <t>POLYESTER COVER AND FILL</t>
  </si>
  <si>
    <t>810001365493</t>
  </si>
  <si>
    <t>Southshore Fine Linens Southshore Fine Linens Classic Green Twin</t>
  </si>
  <si>
    <t>MF-COM-MLDY-TW-XL</t>
  </si>
  <si>
    <t>29927473728</t>
  </si>
  <si>
    <t>Sun Zero Sun Zero Grant 100 x 84 Grom Marine 100x84</t>
  </si>
  <si>
    <t>675716766825</t>
  </si>
  <si>
    <t>Madison Park Quebec Oversized Quilted Throw Blue 60x70</t>
  </si>
  <si>
    <t>MP50-2988</t>
  </si>
  <si>
    <t>FACE AND REVERSE: POLYESTER 85 GRAMS PER SQUARE METER; FILL: COTTON 200 GRAMS PER SQUARE METER</t>
  </si>
  <si>
    <t>675716766818</t>
  </si>
  <si>
    <t>Madison Park Quebec Oversized Quilted Throw Seafoam 60x70</t>
  </si>
  <si>
    <t>MP50-2987</t>
  </si>
  <si>
    <t>732995690064</t>
  </si>
  <si>
    <t>Home Design Studio Handstitched Beaded 16 x 16 Gold</t>
  </si>
  <si>
    <t>MMG-HOME DESIGN STUDIO/SARITA HANDA</t>
  </si>
  <si>
    <t>86569995407</t>
  </si>
  <si>
    <t>Madison Park Chloe Cotton 50 x 60 Tufted- Blush 50x60</t>
  </si>
  <si>
    <t>MP50N-5511</t>
  </si>
  <si>
    <t>FABRIC: ALL COTTON</t>
  </si>
  <si>
    <t>86569170651</t>
  </si>
  <si>
    <t>JLA Home Melody 72 x 72 Shower Curtai Purple 72X72</t>
  </si>
  <si>
    <t>MCH70-1138</t>
  </si>
  <si>
    <t>25695960552</t>
  </si>
  <si>
    <t>Martha Stewart Collection Custom Comfort Memorelle Memor White King</t>
  </si>
  <si>
    <t>96055KF</t>
  </si>
  <si>
    <t>732997361399</t>
  </si>
  <si>
    <t>Martha Stewart Collection Harvest 18 x 18 Decorative P Orange 18x18</t>
  </si>
  <si>
    <t>ORANGE</t>
  </si>
  <si>
    <t>732994200578</t>
  </si>
  <si>
    <t>Martha Stewart Collection Forest Toile Quilted Standard Medium Blue Standard Sham</t>
  </si>
  <si>
    <t>TOILEBLST</t>
  </si>
  <si>
    <t>FABRIC: 100% COTTON 220 GSM; 100% COTTON FILL</t>
  </si>
  <si>
    <t>815492011775</t>
  </si>
  <si>
    <t>Rod Desyne Rod Desyne Curl Decorative Hol Black ONE SIZE</t>
  </si>
  <si>
    <t>4820-032</t>
  </si>
  <si>
    <t>ROD DESYNE</t>
  </si>
  <si>
    <t>STEEL</t>
  </si>
  <si>
    <t>190733158458</t>
  </si>
  <si>
    <t>Linum Home Linum Home Textiles Christmas White ONE SIZE</t>
  </si>
  <si>
    <t>SCROLL TREE-1HT</t>
  </si>
  <si>
    <t>675716932916</t>
  </si>
  <si>
    <t>Madison Park Amherst Colorblock 50 x 18 W Grey 50x18</t>
  </si>
  <si>
    <t>MP41-4377</t>
  </si>
  <si>
    <t>735732743825</t>
  </si>
  <si>
    <t>Victoria Classics Texture Herringbone 50 x 60 Antarctica</t>
  </si>
  <si>
    <t>T3X-THR-5060-MA-ANTR</t>
  </si>
  <si>
    <t>849657025321</t>
  </si>
  <si>
    <t>Rod Desyne Frame 716 Curtain Rod 28-48 Black 28-48in</t>
  </si>
  <si>
    <t>CF07-28-2</t>
  </si>
  <si>
    <t>25695905386</t>
  </si>
  <si>
    <t>Lauren Ralph Lauren Lauren Ralph Lauren Memory Foa White Standard</t>
  </si>
  <si>
    <t>LAUREN RALPH LAUREN/HOLLANDER SLEEP</t>
  </si>
  <si>
    <t>COVER: POLYESTER; INSERT: MEMORY FOAM</t>
  </si>
  <si>
    <t>732997452356</t>
  </si>
  <si>
    <t>Martha Stewart Collection Martha Stewart Collection Tuft Gold Standard Sham</t>
  </si>
  <si>
    <t>86569053671</t>
  </si>
  <si>
    <t>Charter Club Cozy Plush Throw Blue Chevron Throw</t>
  </si>
  <si>
    <t>CCPLUSHPRT</t>
  </si>
  <si>
    <t>732997431115</t>
  </si>
  <si>
    <t>Martha Stewart Collection Velvet Channel Stitch Standard Red Standard Sham</t>
  </si>
  <si>
    <t>100071392ST</t>
  </si>
  <si>
    <t>814945026182</t>
  </si>
  <si>
    <t>De Moocci Microfiber Tailored Bed-Skirt White Queen</t>
  </si>
  <si>
    <t>1706TBS-WHT-Q</t>
  </si>
  <si>
    <t>10482003444</t>
  </si>
  <si>
    <t>Fresh Ideas Poplin Tailored Pillow Euro Sh Ivory European Sham</t>
  </si>
  <si>
    <t>FRE201XXIVOR11</t>
  </si>
  <si>
    <t>732994582933</t>
  </si>
  <si>
    <t>Martha Stewart Collection Martha Stewart Collection Piqu Vanilla European Sham</t>
  </si>
  <si>
    <t>SPQESHV822</t>
  </si>
  <si>
    <t>746885368902</t>
  </si>
  <si>
    <t>Miller Curtains Window Treatments, Preston Rod Dijon 51x63</t>
  </si>
  <si>
    <t>WC70344413963</t>
  </si>
  <si>
    <t>732995009170</t>
  </si>
  <si>
    <t>Charter Club Cotton 16 x 30 Hand Towel Dove Grey Hand Towels</t>
  </si>
  <si>
    <t>52501875410</t>
  </si>
  <si>
    <t>Cobra Deluxe Cotton 13 x 13 Wash T Seafoam 13x13</t>
  </si>
  <si>
    <t>LINTEX LINENS/COBRA TRADING CORP</t>
  </si>
  <si>
    <t>766195440761</t>
  </si>
  <si>
    <t>Tommy Hilfiger All American II Cotton Washclo Peacoat Washcloths</t>
  </si>
  <si>
    <t>079387TH027</t>
  </si>
  <si>
    <t>766195440709</t>
  </si>
  <si>
    <t>Tommy Hilfiger All American II Cotton Washclo Red Washcloths</t>
  </si>
  <si>
    <t>079387TH021</t>
  </si>
  <si>
    <t>766195490438</t>
  </si>
  <si>
    <t>Tommy Hilfiger All American II Cotton Washclo Pale Khaki Washcloths</t>
  </si>
  <si>
    <t>133734TH003</t>
  </si>
  <si>
    <t>766195440525</t>
  </si>
  <si>
    <t>Tommy Hilfiger All American II Cotton Washclo White Washcloths</t>
  </si>
  <si>
    <t>079387TH003</t>
  </si>
  <si>
    <t>766195440648</t>
  </si>
  <si>
    <t>Tommy Hilfiger All American II Cotton Washclo Steel Grey Washcloths</t>
  </si>
  <si>
    <t>079387TH015</t>
  </si>
  <si>
    <t>766195440853</t>
  </si>
  <si>
    <t>Tommy Hilfiger All American II Cotton Washclo Magenta Washcloths</t>
  </si>
  <si>
    <t>079387TH036</t>
  </si>
  <si>
    <t>79465025507</t>
  </si>
  <si>
    <t>IZOD 12 x 12 Wash Cloth Chambray</t>
  </si>
  <si>
    <t>GH32T260692</t>
  </si>
  <si>
    <t>86569914200</t>
  </si>
  <si>
    <t>Madison Park Essentials Brystol 24-Pc. King Teal King</t>
  </si>
  <si>
    <t>MPE10-637</t>
  </si>
  <si>
    <t>COMFORTER/SHAM/EUROPEAN SHAM/SHEETS: POLYESTER 85 GRAMS PER SQUARE METER; BEDSKIRT/DECORATIVE PILLOW/WINDOW PANELS/TIEBACKS/VALANCE: POLYESTER; COMFORTER FILL: POLYESTER 270 GRAMS PER SQUARE METER; DECORATIVE PILLOW FILL: POLYESTER</t>
  </si>
  <si>
    <t>810026431296</t>
  </si>
  <si>
    <t>RILEYSATEENDUVTSHAM</t>
  </si>
  <si>
    <t>RI1296</t>
  </si>
  <si>
    <t>RILEY HOME/DREAM LAB LLC</t>
  </si>
  <si>
    <t>100% COTTON SATEEN</t>
  </si>
  <si>
    <t>675716715755</t>
  </si>
  <si>
    <t>Madison Park Bennett 7-Pc. King Comforter S Grey King</t>
  </si>
  <si>
    <t>MP10-2419</t>
  </si>
  <si>
    <t>COMFORTER AND SHAMS: POLYESTER; BEDSKIRT DROP: POLYONI; POLYESTER PLATFORM; DECORATIVE PILLOWS: POLYESTER; POLYESTER FILL; COMFORTER FILL: POLYESTER 270 GRAMS PER SQUARE METER</t>
  </si>
  <si>
    <t>86569953292</t>
  </si>
  <si>
    <t>Madison Park Lucinda Cotton Reversible 7-Pc Blue King</t>
  </si>
  <si>
    <t>MP10-5268</t>
  </si>
  <si>
    <t>COMFORTER/SHAM: COTTON, REVERSES TO COTTON/POLYESTER; THREAD COUNT: 210, REVERSES TO 180; BEDSKIRT: COTTON POLYESTER (DROP)/POLYESTER (PLATFORM); PILLOW: COTTON/POLYESTER; FILL: POLYESTER</t>
  </si>
  <si>
    <t>86569263032</t>
  </si>
  <si>
    <t>INKIVY INKIVY Ellipse 3-Piece FullQ Navy FullQueen</t>
  </si>
  <si>
    <t>II10-1069</t>
  </si>
  <si>
    <t>COMFORTER/SHAM FRONT: COTTON CLIPPED JACQUARD; REVERSE: SOLID COTTON; COMFORTER WITH POLYESTER FILLING</t>
  </si>
  <si>
    <t>675716752651</t>
  </si>
  <si>
    <t>Madison Park Madison Park Dawn 6-Piece Full Blue FullQueen</t>
  </si>
  <si>
    <t>MP13-2801</t>
  </si>
  <si>
    <t>COVERLET AND SHAM FACE: COTTON; COTTON/POLYESTER REVERSE; DECORATIVE PILLOWS: COTTON/POLYESTER; POLYESTER FILL; COVERLET FILL: COTTON/POLYESTER/OTHER FIBERS 240 GRAMS PER SQUARE METER</t>
  </si>
  <si>
    <t>86569926968</t>
  </si>
  <si>
    <t>Madison Park Arya Reversible 3-Pc. FullQue Ivory FullQueen</t>
  </si>
  <si>
    <t>MP10-5058</t>
  </si>
  <si>
    <t>732999196593</t>
  </si>
  <si>
    <t>Lucky Brand Baja Stripe Quilted Cotton 230 Ivory FullQueen</t>
  </si>
  <si>
    <t>100078879FQ</t>
  </si>
  <si>
    <t>718498908691</t>
  </si>
  <si>
    <t>Shavel Micro Flannel Twin Quilted B Meadow Twin</t>
  </si>
  <si>
    <t>MFNQBKTMDW</t>
  </si>
  <si>
    <t>840970140234</t>
  </si>
  <si>
    <t>Cathay Home Inc. Yarn Dyed FullQueen Duvet Cov Ivory FullQueen</t>
  </si>
  <si>
    <t>917063-IVO-F-Q</t>
  </si>
  <si>
    <t>810026432262</t>
  </si>
  <si>
    <t>RILEY SATEEN WH FT SHT QN</t>
  </si>
  <si>
    <t>RI2262</t>
  </si>
  <si>
    <t>86569299857</t>
  </si>
  <si>
    <t>Madison Park Essentials Madison Park Essentials Sofia Blue Twin</t>
  </si>
  <si>
    <t>MPE10-878</t>
  </si>
  <si>
    <t>675716674830</t>
  </si>
  <si>
    <t>Sleep Philosophy Peyton Reversible 3-Pc. FullQ Grey FullQueen</t>
  </si>
  <si>
    <t>BASI10-0340</t>
  </si>
  <si>
    <t>732998478829</t>
  </si>
  <si>
    <t>MODERNO EU SHAM</t>
  </si>
  <si>
    <t>100079120ER</t>
  </si>
  <si>
    <t>SHELL: 60% COTTON/40% POLYESTER; LINING: 100% COTTON; INSERT SHELL: 100% COTTON; FILL: 100% POLYESTER; TRIM: POLYESTER, METAL</t>
  </si>
  <si>
    <t>675716760175</t>
  </si>
  <si>
    <t>Madison Park Zuri Reversible Oversized 96 Chocolate Throw</t>
  </si>
  <si>
    <t>MP50-2919</t>
  </si>
  <si>
    <t>47293325366</t>
  </si>
  <si>
    <t>Sure Fit Soft Faux Suede Loveseat Cover Taupe Loveseat Slipcover</t>
  </si>
  <si>
    <t>SURE FIT HOME PRODUCTS LLC</t>
  </si>
  <si>
    <t>47225027801</t>
  </si>
  <si>
    <t>Dream Factory Dream Factory Sweet Butterfly Multi</t>
  </si>
  <si>
    <t>2-746401MU</t>
  </si>
  <si>
    <t>734737572874</t>
  </si>
  <si>
    <t>Silken Slumber Silk Solid Standard Pillowcase Champagne Standard</t>
  </si>
  <si>
    <t>ALL SILK</t>
  </si>
  <si>
    <t>810026431111</t>
  </si>
  <si>
    <t>RI1111</t>
  </si>
  <si>
    <t>PREMIUM LONG STAPLE COMBED COTTON</t>
  </si>
  <si>
    <t>810026431319</t>
  </si>
  <si>
    <t>RI1319</t>
  </si>
  <si>
    <t>608356217631</t>
  </si>
  <si>
    <t>Hotel Collection Trousseau Cotton Queen Bedskir White Queen</t>
  </si>
  <si>
    <t>WE19QBS790</t>
  </si>
  <si>
    <t>86569995414</t>
  </si>
  <si>
    <t>Madison Park Chloe Cotton 50 x 60 Tufted- Gray 50x60</t>
  </si>
  <si>
    <t>MP50N-5512</t>
  </si>
  <si>
    <t>732999612802</t>
  </si>
  <si>
    <t>Lucky Brand Paradise Cotton 230-Thread Cou Lightpastel Gr European Sham</t>
  </si>
  <si>
    <t>100078210ER</t>
  </si>
  <si>
    <t>675716665739</t>
  </si>
  <si>
    <t>Madison Park Ogee 60 x 70 Oversized Down- Blue 60x70</t>
  </si>
  <si>
    <t>MP50-1856</t>
  </si>
  <si>
    <t>783048113023</t>
  </si>
  <si>
    <t>400TC PERCALE</t>
  </si>
  <si>
    <t>SS3307AMKS-4700</t>
  </si>
  <si>
    <t>675716805463</t>
  </si>
  <si>
    <t>Urban Habitat Lexi Colorblocked Throw Taupe Throw</t>
  </si>
  <si>
    <t>BL50-0890</t>
  </si>
  <si>
    <t>732995186949</t>
  </si>
  <si>
    <t>LUX BLCK IV Q KG SH BASIC</t>
  </si>
  <si>
    <t>100051275KG</t>
  </si>
  <si>
    <t>COTTON/ POLYESTER</t>
  </si>
  <si>
    <t>732995186932</t>
  </si>
  <si>
    <t>LUX BLCK IV Q ER SH BASIC</t>
  </si>
  <si>
    <t>100051271ER</t>
  </si>
  <si>
    <t>675716467265</t>
  </si>
  <si>
    <t>Madison Park Duke Ribbed 50 x 60 Faux-Fur Black 50x60</t>
  </si>
  <si>
    <t>MP50-453</t>
  </si>
  <si>
    <t>26865854268</t>
  </si>
  <si>
    <t>Elrene Elrene All Seasons Faux Silk 5 Antique Gold 52x36</t>
  </si>
  <si>
    <t>718498905744</t>
  </si>
  <si>
    <t>Shavel Micro Flannel Amethyst All S Chino Twin</t>
  </si>
  <si>
    <t>MFNBKTWCHN12</t>
  </si>
  <si>
    <t>693614011458</t>
  </si>
  <si>
    <t>Ella Jayne Allergy -Free Dust Mite Free M White King</t>
  </si>
  <si>
    <t>EJHMPAL4</t>
  </si>
  <si>
    <t>675716550769</t>
  </si>
  <si>
    <t>Madison Park Irina 50 x 84 Embroidered Di Ivory 50x84</t>
  </si>
  <si>
    <t>MP40-1065</t>
  </si>
  <si>
    <t>746885368766</t>
  </si>
  <si>
    <t>Miller Curtains Miller Curtains Preston 48 x Stone Grey 48x216</t>
  </si>
  <si>
    <t>WC703444140216</t>
  </si>
  <si>
    <t>675716665821</t>
  </si>
  <si>
    <t>Madison Park Ruched 20 Square Faux-Fur Dec Red 20x20</t>
  </si>
  <si>
    <t>MP30-1865</t>
  </si>
  <si>
    <t>FAUX-FUR FACE: POLYESTER 220 GRAMS PER SQUARE METER; FAUX-FUR REVERSE: POLYESTER 180 GRAMS PER SQUARE METER; POLYESTER FILL</t>
  </si>
  <si>
    <t>26865775426</t>
  </si>
  <si>
    <t>Elrene Elrene Cameron Valance Ivory 60x15</t>
  </si>
  <si>
    <t>38957IVR</t>
  </si>
  <si>
    <t>RAYON/LINEN</t>
  </si>
  <si>
    <t>10482349030</t>
  </si>
  <si>
    <t>All-In-One Comfort Top Queen Pillow Prote White</t>
  </si>
  <si>
    <t>ALL17102WHIT10</t>
  </si>
  <si>
    <t>COVER: POLYESTER; LINING: POLYURETHANE</t>
  </si>
  <si>
    <t>36326426194</t>
  </si>
  <si>
    <t>Saturday Knight Petite Fleur 56 x 84 Panel Bone 56x84</t>
  </si>
  <si>
    <t>732994103176</t>
  </si>
  <si>
    <t>Charter Club Elite Fashion Medallion Cotton Smoke Bath Towels</t>
  </si>
  <si>
    <t>885308748867</t>
  </si>
  <si>
    <t>Keeco Vue Window Solutions Kingsbury White 52x36</t>
  </si>
  <si>
    <t>18500052036WHI</t>
  </si>
  <si>
    <t>746885368957</t>
  </si>
  <si>
    <t>Miller Curtains Window Treatments, Preston Rod Stone Grey 51x84</t>
  </si>
  <si>
    <t>WC70344414084</t>
  </si>
  <si>
    <t>86569287557</t>
  </si>
  <si>
    <t>Urban Dreams HOODED THROWS Brown Standard</t>
  </si>
  <si>
    <t>MCH50-1614</t>
  </si>
  <si>
    <t>746885369619</t>
  </si>
  <si>
    <t>Miller Curtains Miller Curtains Angelica Volie Coal 59x84</t>
  </si>
  <si>
    <t>WC70348112084</t>
  </si>
  <si>
    <t>886087347715</t>
  </si>
  <si>
    <t>Lauren Ralph Lauren Lauren Ralph Lauren Nicola Pai Navy And Cream FullQueen</t>
  </si>
  <si>
    <t>840008312404</t>
  </si>
  <si>
    <t>Lucid 3 Gel Foam Mattress Topper, K Blue King</t>
  </si>
  <si>
    <t>DC30KK30GT</t>
  </si>
  <si>
    <t>MEMORY FOAM</t>
  </si>
  <si>
    <t>54206583218</t>
  </si>
  <si>
    <t>Martha Stewart Collection Radiant Day 14-Pc. King Comfor Grey King</t>
  </si>
  <si>
    <t>14RDNTSLKG</t>
  </si>
  <si>
    <t>FABRIC: COTTON/POLYESTER; POLYESTER FILL (COMFORTER)</t>
  </si>
  <si>
    <t>675716688998</t>
  </si>
  <si>
    <t>Madison Park Madison Park Luna 6-Piece King Blue KingCalifornia King</t>
  </si>
  <si>
    <t>MP13-2121</t>
  </si>
  <si>
    <t>COVERLET/SHAM/PILLOW SHELL: POLYESTER; COVERLET FILL: COTTON/POLYESTER/OTHER 200 GRAMS PER SQUARE METER</t>
  </si>
  <si>
    <t>86569023292</t>
  </si>
  <si>
    <t>Madison Park Essentials Maible Reversible 9-Pc. Queen Purple Queen</t>
  </si>
  <si>
    <t>MPE10-734</t>
  </si>
  <si>
    <t>COMFORTER/SHAM/BEDSKIRT/PILLOW: POLYESTER; SHEET SET: COTTON; COMFORTER/PILLOW FILL: POLYESTER 75 GSM</t>
  </si>
  <si>
    <t>41808667323</t>
  </si>
  <si>
    <t>PEKING HANDICRAFT INC Modern Heirloom Felisa Bedspre Light Beig</t>
  </si>
  <si>
    <t>80PHC338D06C1204</t>
  </si>
  <si>
    <t>FACE- 100% COTTON, BACK- 100% POLYESTER</t>
  </si>
  <si>
    <t>675716906498</t>
  </si>
  <si>
    <t>Madison Park Essentials Central Park 9-Pc. YellowAqua Full</t>
  </si>
  <si>
    <t>MPE10-387</t>
  </si>
  <si>
    <t>COMFORTER/SHAM/BEDSKIRT: POLYESTER 85 GRAMS PER SQUARE METER; PILLOW (COVER): POLYESTER; SHEETS: COTTON; THREAD COUNT: 180; COMFORTER FILL: POLYESTER 250 GRAMS PER SQUARE METER; PILLOW FILL: POLYESTER</t>
  </si>
  <si>
    <t>97277434102</t>
  </si>
  <si>
    <t>Wildkin Wildkin Trains, Planes, Trucks Blue NO SIZE</t>
  </si>
  <si>
    <t>WILDKIN</t>
  </si>
  <si>
    <t>675716965235</t>
  </si>
  <si>
    <t>Intelligent Design Loretta 9-Pc. Queen Comforter Coral Queen</t>
  </si>
  <si>
    <t>ID10-1219</t>
  </si>
  <si>
    <t>COMFORTER/SHAM/SHEET SET/DECORATIVE PILLOW/BEDSKIRT: POLYESTER; COMFORTER FILL: POLYESTER 5 OUNCES PER SQUARE YARD; DECORATIVE PILLOW FILL: POLYESTER</t>
  </si>
  <si>
    <t>675716954574</t>
  </si>
  <si>
    <t>Madison Park Bayside 6-Pc. Daybed Bedding S Blue Daybed</t>
  </si>
  <si>
    <t>MP13-4474</t>
  </si>
  <si>
    <t>DAYBED COVER/SHAM/PILLOW SHELL/BEDSKIRT: POLYESTER MICROFIBER DAYBED COVER FILL: 7-OZ. PER SQUARE YARD COTTON/POLYESTER/OLEFIN/OTHER FIBERS FILL PILLOW FILL: POLYESTER</t>
  </si>
  <si>
    <t>675716505820</t>
  </si>
  <si>
    <t>Intelligent Design Senna 5-Pc. Reversible FullQu Orange FullQueen</t>
  </si>
  <si>
    <t>ID10-002</t>
  </si>
  <si>
    <t>COMFORTER: PRINTED POLYESTER PEACH SKIN; BRUSHED POLYESTER REVERSE; FILL: POLYESTER SHAM: PRINTED POLYESTER PEACH SKIN; BRUSHED POLYESTER REVERSE DECORATIVE PILLOW: FABRIC/FILL: POLYESTER</t>
  </si>
  <si>
    <t>675716643591</t>
  </si>
  <si>
    <t>Intelligent Design Senna 5-Pc. Reversible FullQu Aqua FullQueen</t>
  </si>
  <si>
    <t>ID10-417</t>
  </si>
  <si>
    <t>86569295361</t>
  </si>
  <si>
    <t>Intelligent Design Raina Metallic-Print 50 x 84 Navy 50x84</t>
  </si>
  <si>
    <t>ID40-1810</t>
  </si>
  <si>
    <t>735732886911</t>
  </si>
  <si>
    <t>VCNY Home Carmen 3-Pc. Ruched Queen Duve Taupe Queen</t>
  </si>
  <si>
    <t>CMN-3DV-QUEN-OV-TAUP</t>
  </si>
  <si>
    <t>86569005755</t>
  </si>
  <si>
    <t>Intelligent Design Raina Metallic-Print 50 x 84 Grey 50x84</t>
  </si>
  <si>
    <t>ID40-1405</t>
  </si>
  <si>
    <t>848336098854</t>
  </si>
  <si>
    <t>Levtex Levtex Home Embroidered Fish w White</t>
  </si>
  <si>
    <t>L441P-G</t>
  </si>
  <si>
    <t>848336098991</t>
  </si>
  <si>
    <t>Levtex Levtex Home Beach Happy Place White</t>
  </si>
  <si>
    <t>L441P-U</t>
  </si>
  <si>
    <t>86569902917</t>
  </si>
  <si>
    <t>SunSmart Mirage 50 x 95 Damask Total Champagne 50x95</t>
  </si>
  <si>
    <t>SS40-0014</t>
  </si>
  <si>
    <t>675716488406</t>
  </si>
  <si>
    <t>Madison Park Emilia 50 x 95 Lined Faux-Si Champagne 50x95</t>
  </si>
  <si>
    <t>WIN40-120</t>
  </si>
  <si>
    <t>95 SGL</t>
  </si>
  <si>
    <t>675716957346</t>
  </si>
  <si>
    <t>Madison Park Harper 42 x 144 Solid Crushe Spice 42x144</t>
  </si>
  <si>
    <t>MP40-4508</t>
  </si>
  <si>
    <t>MED ORANGE</t>
  </si>
  <si>
    <t>675716846152</t>
  </si>
  <si>
    <t>Intelligent Design Olivia Floral-Print 50 x 84 Blue 50x84</t>
  </si>
  <si>
    <t>ID40-1012</t>
  </si>
  <si>
    <t>86569017949</t>
  </si>
  <si>
    <t>Urban Habitat Brooklyn 42 x 63 Cotton Jacq Grey 42x63</t>
  </si>
  <si>
    <t>UH40-2177</t>
  </si>
  <si>
    <t>86569898562</t>
  </si>
  <si>
    <t>Madison Park Sachi Oversized 60 x 70 Prin Gray 60x70</t>
  </si>
  <si>
    <t>MP50-4906</t>
  </si>
  <si>
    <t>FAUX-FUR FABRIC: POLYESTER</t>
  </si>
  <si>
    <t>885308221803</t>
  </si>
  <si>
    <t>Eclipse Nadya Print Thermalayer Linen 52x63</t>
  </si>
  <si>
    <t>12996052063LIN</t>
  </si>
  <si>
    <t>63 SGL</t>
  </si>
  <si>
    <t>732997111383</t>
  </si>
  <si>
    <t>Lucky Brand Lucky Brand Blue Basanti Europ Blue Combo European Sham</t>
  </si>
  <si>
    <t>100057573ER</t>
  </si>
  <si>
    <t>86569928276</t>
  </si>
  <si>
    <t>MPE12-643</t>
  </si>
  <si>
    <t>FABRIC: POLYESTER 85 GSM</t>
  </si>
  <si>
    <t>783048113412</t>
  </si>
  <si>
    <t>Pem America Ridgefield 3-Pc. FullQueen Co Multi FullQueen</t>
  </si>
  <si>
    <t>CS3246FQ-1540</t>
  </si>
  <si>
    <t>675716964030</t>
  </si>
  <si>
    <t>Madison Park Madison Park Andora 50 x 18 Navy 50x18</t>
  </si>
  <si>
    <t>MP41-4572</t>
  </si>
  <si>
    <t>29927465846</t>
  </si>
  <si>
    <t>No. 918 Mabel 48 x 84 Leaf Print Cur Harbor 48x84</t>
  </si>
  <si>
    <t>86569138057</t>
  </si>
  <si>
    <t>Intelligent Design Intelligent Design Emma 50 x Teal 50x60</t>
  </si>
  <si>
    <t>ID50-1604</t>
  </si>
  <si>
    <t>FACE: 100% POLYESTER BACK PRINT SHAGGY LONG FUR; REVERSE: 100% POLYESTER SOLID MINK</t>
  </si>
  <si>
    <t>86569138064</t>
  </si>
  <si>
    <t>Intelligent Design Intelligent Design Emma 50 x Grey 50x60</t>
  </si>
  <si>
    <t>ID50-1605</t>
  </si>
  <si>
    <t>86569284891</t>
  </si>
  <si>
    <t>Madison Park Madison Park Simone 50 x 84 Grey 50x84</t>
  </si>
  <si>
    <t>MP40-6616</t>
  </si>
  <si>
    <t>54006250693</t>
  </si>
  <si>
    <t>Achim LiveLove 58x24 NY Grey 58x24</t>
  </si>
  <si>
    <t>LLTV24GY12</t>
  </si>
  <si>
    <t>675716700218</t>
  </si>
  <si>
    <t>Madison Park Amherst Colorblock 50 x 18 W Navy 50x18</t>
  </si>
  <si>
    <t>MP41-2231</t>
  </si>
  <si>
    <t>675716783549</t>
  </si>
  <si>
    <t>INKIVY Bree Chunky-Knit 12 x 20 Obl Aqua 12x20</t>
  </si>
  <si>
    <t>II30-742</t>
  </si>
  <si>
    <t>FABRIC: ACRYLIC 410 GRAMS PER SQUARE METER; LINING: COTTON</t>
  </si>
  <si>
    <t>29927440768</t>
  </si>
  <si>
    <t>No. 918 Silvia Crushed Sheer 50 x 84 Gray 50x84</t>
  </si>
  <si>
    <t>SILVIA</t>
  </si>
  <si>
    <t>29927440713</t>
  </si>
  <si>
    <t>No. 918 Silvia Crushed Sheer 50 x 63 Gray 50x63</t>
  </si>
  <si>
    <t>746885344654</t>
  </si>
  <si>
    <t>Miller Curtains Window Treatments, Preston Rod Beige 51x108</t>
  </si>
  <si>
    <t>WC703444002108</t>
  </si>
  <si>
    <t>885308455420</t>
  </si>
  <si>
    <t>Eclipse Peabody Grey 42x63</t>
  </si>
  <si>
    <t>15942042X063GRE</t>
  </si>
  <si>
    <t>746885344593</t>
  </si>
  <si>
    <t>Miller Curtains Window Treatments, Preston Rod White 51x95</t>
  </si>
  <si>
    <t>WC70344400195</t>
  </si>
  <si>
    <t>746885344517</t>
  </si>
  <si>
    <t>Miller Curtains Window Treatments, Preston Rod White 51x84</t>
  </si>
  <si>
    <t>WC70344400184</t>
  </si>
  <si>
    <t>732997906453</t>
  </si>
  <si>
    <t>100070643QN</t>
  </si>
  <si>
    <t>FRONT: COTTON/POLYESTER BLEND, BACK: 100% COTTON, FILL: 100% POLYESTER</t>
  </si>
  <si>
    <t>830000025396</t>
  </si>
  <si>
    <t>Pendleton Pendleton Yosemite National Pa Baby Blue XLarge</t>
  </si>
  <si>
    <t>0PP000X-YOSXL</t>
  </si>
  <si>
    <t>CAROLINA PET COMPANY LLC</t>
  </si>
  <si>
    <t>883893592131</t>
  </si>
  <si>
    <t>ED Ellen Degeneres Soledad FullQueen Comforter S Grey FullQueen</t>
  </si>
  <si>
    <t>USHSA51096487</t>
  </si>
  <si>
    <t>COTTON FACE. POLYESTER FILL.</t>
  </si>
  <si>
    <t>750105141428</t>
  </si>
  <si>
    <t>Hotel Collection Primaloft Silver 450-Thread Co White FullQueen</t>
  </si>
  <si>
    <t>10011754F</t>
  </si>
  <si>
    <t>788904100070</t>
  </si>
  <si>
    <t>Kathy Ireland Kathy Ireland Essentials White White FullQueen</t>
  </si>
  <si>
    <t>KI007452</t>
  </si>
  <si>
    <t>732996744247</t>
  </si>
  <si>
    <t>Lucky Brand Lucky Brand Tufted Floral Full Pink Queen</t>
  </si>
  <si>
    <t>100062039FQ</t>
  </si>
  <si>
    <t>783048108777</t>
  </si>
  <si>
    <t>Sean John Jersey Twin Sheet Set Navy Twin</t>
  </si>
  <si>
    <t>SS3235NVTX-4700</t>
  </si>
  <si>
    <t>SEAN JOHN/PEM AMERICA INC</t>
  </si>
  <si>
    <t>JERSEY</t>
  </si>
  <si>
    <t>733001230052</t>
  </si>
  <si>
    <t>Martha Stewart Collection Charleston Yarn Dye Stripe Ful Blue FullQueen</t>
  </si>
  <si>
    <t>100104028FQ</t>
  </si>
  <si>
    <t>783048037206</t>
  </si>
  <si>
    <t>Truly Soft Truly Soft Everyday Hotel Bord White And Black FullQueen</t>
  </si>
  <si>
    <t>CS2182WBFQ7-00</t>
  </si>
  <si>
    <t>732998523895</t>
  </si>
  <si>
    <t>Martha Stewart Collection Flamingo Lagoon 3-Pc. FullQue Pink FullQueen</t>
  </si>
  <si>
    <t>100077563FQ</t>
  </si>
  <si>
    <t>875108001095</t>
  </si>
  <si>
    <t>Celeste Home Celeste Home Luxury Weight Cot Turquoise King</t>
  </si>
  <si>
    <t>LBAWAYTW3QS</t>
  </si>
  <si>
    <t>100% SOFT COTTON</t>
  </si>
  <si>
    <t>732998216254</t>
  </si>
  <si>
    <t>Charter Club Damask Thin Stripe Cotton 550- Neo Natural FullQueen</t>
  </si>
  <si>
    <t>100051414FQ</t>
  </si>
  <si>
    <t>733001640110</t>
  </si>
  <si>
    <t>Charter Club Damask Cotton 550-Thread Count Navy FullQueen</t>
  </si>
  <si>
    <t>100068882FQ</t>
  </si>
  <si>
    <t>86569099778</t>
  </si>
  <si>
    <t>Hotel Collection Egyptian Cotton King Blanket Mist King</t>
  </si>
  <si>
    <t>41808949733</t>
  </si>
  <si>
    <t>Modern Heirloom Modern Heirloom Sorrento 3-Pie Blue FullQueen</t>
  </si>
  <si>
    <t>A060819BLNDS</t>
  </si>
  <si>
    <t>734737615762</t>
  </si>
  <si>
    <t>Sunham Ashford 1500-Thread Count 4-Pc Navy King</t>
  </si>
  <si>
    <t>706257998243</t>
  </si>
  <si>
    <t>Hotel Collection Fresco California King Bedskir Gold King</t>
  </si>
  <si>
    <t>FO20KBS790</t>
  </si>
  <si>
    <t>POLY COTTON</t>
  </si>
  <si>
    <t>628961002378</t>
  </si>
  <si>
    <t>Kensington Garden Dover King Cotton Rich Cool Co White King</t>
  </si>
  <si>
    <t>JET9820</t>
  </si>
  <si>
    <t>JETRICH CANADA LIMITED</t>
  </si>
  <si>
    <t>191790024441</t>
  </si>
  <si>
    <t>Fairfield Square Collection Brookline 1400-Thread Count 6- Seaglass Queen</t>
  </si>
  <si>
    <t>23302103412AQT</t>
  </si>
  <si>
    <t>735732093364</t>
  </si>
  <si>
    <t>VCNY Home VCNY Home Dublin Cable Knit Th Blue Throw</t>
  </si>
  <si>
    <t>DUI-THR-5070-BB-BLUE</t>
  </si>
  <si>
    <t>693614011632</t>
  </si>
  <si>
    <t>Ella Jayne Big and Soft Fiber Bed Mattres White California King</t>
  </si>
  <si>
    <t>EJHFBBS5</t>
  </si>
  <si>
    <t>CALKMATTRE</t>
  </si>
  <si>
    <t>810002521577</t>
  </si>
  <si>
    <t>De Moocci De Moocci Shaggy Chic Throw Bl Burgundy 87X94</t>
  </si>
  <si>
    <t>1803BNKT 25M BUR FQ</t>
  </si>
  <si>
    <t>734737635609</t>
  </si>
  <si>
    <t>Fairfield Square Collection GTHM blkwht FULL CS Blackwhite Full</t>
  </si>
  <si>
    <t>810026171260</t>
  </si>
  <si>
    <t>Cheer Collection Knitted Throw Blanket Ivory ONE SIZE</t>
  </si>
  <si>
    <t>CC-ACBL001-50X60-IV</t>
  </si>
  <si>
    <t>ACRYLIC</t>
  </si>
  <si>
    <t>784851504565</t>
  </si>
  <si>
    <t>Elegant Comfort Elegant Comfort Luxurious Silk Navy Twin</t>
  </si>
  <si>
    <t>STRIPE DUVET TWIN NA</t>
  </si>
  <si>
    <t>732997393956</t>
  </si>
  <si>
    <t>Hotel Collection Primaloft 450-Thread Count Med White Standard</t>
  </si>
  <si>
    <t>100083175QN</t>
  </si>
  <si>
    <t>693614011441</t>
  </si>
  <si>
    <t>Ella Jayne Allergy -Free Dust Mite Free M White Queen</t>
  </si>
  <si>
    <t>EJHMPAL3</t>
  </si>
  <si>
    <t>29927505313</t>
  </si>
  <si>
    <t>Sun Zero Sun Zero Saxon 54 x 108 Blac Charcoal 54x108</t>
  </si>
  <si>
    <t>86569373076</t>
  </si>
  <si>
    <t>Martha Stewart Collection Essential Queen Mattress Pad White Queen</t>
  </si>
  <si>
    <t>SLPSC1Q04</t>
  </si>
  <si>
    <t>42694347290</t>
  </si>
  <si>
    <t>Charter Club Classic Bath Rug Cedar 25.5 x 44</t>
  </si>
  <si>
    <t>CSOLD2X4CD</t>
  </si>
  <si>
    <t>732998491354</t>
  </si>
  <si>
    <t>Lucky Brand Eden Cotton 26 x 26 European Gold European Sham</t>
  </si>
  <si>
    <t>100078212ER</t>
  </si>
  <si>
    <t>675716604172</t>
  </si>
  <si>
    <t>INKIVY Cario Embroidered 18 Square D Blue</t>
  </si>
  <si>
    <t>II30-220</t>
  </si>
  <si>
    <t>693614011427</t>
  </si>
  <si>
    <t>Ella Jayne Allergy -Free Dust Mite Free M White Twin</t>
  </si>
  <si>
    <t>EJHMPAL1</t>
  </si>
  <si>
    <t>679610755503</t>
  </si>
  <si>
    <t>Hallmart Collectibles Amanda 3-Pc. Reversible FullQ Multi King</t>
  </si>
  <si>
    <t>732999786954</t>
  </si>
  <si>
    <t>Hotel Collection Ultimate MicroCotton 20th Anni White</t>
  </si>
  <si>
    <t>847636047593</t>
  </si>
  <si>
    <t>Mytex Aster Floral 3-Pc. Reversible Navyyellow FullQueen</t>
  </si>
  <si>
    <t>ASTER FLORAL3PCFQ</t>
  </si>
  <si>
    <t>10482319163</t>
  </si>
  <si>
    <t>Lux Hotel Baratta Embroidered Euro 2-Pac White European Sham</t>
  </si>
  <si>
    <t>FRE27502WHIT11</t>
  </si>
  <si>
    <t>86569073556</t>
  </si>
  <si>
    <t>Martha Stewart Collection Martha Stewart Soft Fleece Que Storm Front FullQueen</t>
  </si>
  <si>
    <t>10016635FQ</t>
  </si>
  <si>
    <t>732998000228</t>
  </si>
  <si>
    <t>Charter Club Continuous Comfort MediumFirm White Standard</t>
  </si>
  <si>
    <t>100085912SQ</t>
  </si>
  <si>
    <t>610406819429</t>
  </si>
  <si>
    <t>Homey Cozy Homey Cozy Zoey Liane Throw Pi Blue 20x20</t>
  </si>
  <si>
    <t>85099-BLUE</t>
  </si>
  <si>
    <t>96675311015</t>
  </si>
  <si>
    <t>SensorGel Wellness Collection by Suppor White Standard</t>
  </si>
  <si>
    <t>COVER: 230 GSM POLYESTER, FILL: MEMORY FOAM CLUSTERS</t>
  </si>
  <si>
    <t>42694347283</t>
  </si>
  <si>
    <t>Charter Club Classic Contour Bath Rug Cedar 21 x 24</t>
  </si>
  <si>
    <t>CSOLIDCNCD</t>
  </si>
  <si>
    <t>848342051492</t>
  </si>
  <si>
    <t>Epoch Hometex inc PUFF IndoorOutdoor Water Resi Navy NO SIZE</t>
  </si>
  <si>
    <t>COTTONLOFT/EPOCH HOMETEX INC</t>
  </si>
  <si>
    <t>100% NYLON</t>
  </si>
  <si>
    <t>29927577914</t>
  </si>
  <si>
    <t>Sun Zero Sun Zero Preston 40 x 95 Gro White 40x95</t>
  </si>
  <si>
    <t>786696211394</t>
  </si>
  <si>
    <t>HotelSpa Replacement 3 Stage Filter Car White</t>
  </si>
  <si>
    <t>885308324160</t>
  </si>
  <si>
    <t>Traditions by Waverly Navarra Panel Antique 52x84</t>
  </si>
  <si>
    <t>14314052084ANT</t>
  </si>
  <si>
    <t>732996250113</t>
  </si>
  <si>
    <t>Charter Club Superluxe 300-Thread Count Sof White Standard</t>
  </si>
  <si>
    <t>100069246SQ</t>
  </si>
  <si>
    <t>732996957814</t>
  </si>
  <si>
    <t>Charter Club Cozy Plush Throw Tan 50x70</t>
  </si>
  <si>
    <t>96675639720</t>
  </si>
  <si>
    <t>SensorGel Any Position StandardQueen Pi White Standard</t>
  </si>
  <si>
    <t>COVER: 250-THREAD COUNT COTTON SATEEN; FILL: HYPOALLERGENIC FIBER FILL</t>
  </si>
  <si>
    <t>732998302940</t>
  </si>
  <si>
    <t>Hotel Collection Ultimate MicroCotton 16 x 30 Weathered Rose Hand Towels</t>
  </si>
  <si>
    <t>HTLMCHWRS</t>
  </si>
  <si>
    <t>628961003726</t>
  </si>
  <si>
    <t>Kensington Garden Somerset 800 Thread Count Silv Silver King</t>
  </si>
  <si>
    <t>JET10141</t>
  </si>
  <si>
    <t>788904002459</t>
  </si>
  <si>
    <t>BR MNK/SHRPA THRW RED BASIC</t>
  </si>
  <si>
    <t>886087293890</t>
  </si>
  <si>
    <t>Lauren Ralph Lauren Devon Lace Applique 18 Squar Cream</t>
  </si>
  <si>
    <t>706258481287</t>
  </si>
  <si>
    <t>Martha Stewart Collection Chenille Trellis 2-Pc. Twin Co Light Blue TwinTwin XL</t>
  </si>
  <si>
    <t>100036498TW</t>
  </si>
  <si>
    <t>766195506719</t>
  </si>
  <si>
    <t>Tommy Hilfiger Channel Island Chevron Cotton Blue King</t>
  </si>
  <si>
    <t>11T1125-KG-B1-O1</t>
  </si>
  <si>
    <t>811098030899</t>
  </si>
  <si>
    <t>Puredown Puredown All Season Comforter White FullQueen</t>
  </si>
  <si>
    <t>PD 16025 F Q</t>
  </si>
  <si>
    <t>SHELL - 100 % POLYESTER, STUFFING - 100 % POLYESTER</t>
  </si>
  <si>
    <t>86268116974</t>
  </si>
  <si>
    <t>Arlee Home Fashions CLOSEOUT Arlee Donut Lounger Gray No Size</t>
  </si>
  <si>
    <t>59-00935GRY</t>
  </si>
  <si>
    <t>766195440075</t>
  </si>
  <si>
    <t>Tommy Hilfiger Robinson Knots Navy 12 x 20 Navy</t>
  </si>
  <si>
    <t>064580TH001</t>
  </si>
  <si>
    <t>14X20</t>
  </si>
  <si>
    <t>726895980721</t>
  </si>
  <si>
    <t>Hotel Collection Honeycomb 22 x 22 Decorative Oatmeal</t>
  </si>
  <si>
    <t>COTTON/POLYESTER.</t>
  </si>
  <si>
    <t>96675622258</t>
  </si>
  <si>
    <t>SensorGel Luxury Gel-Infused Contoured K White ONE SIZE</t>
  </si>
  <si>
    <t>COVER: RAYON; INNER COVER/YARNS/BACK: POLYESTER; FILL: MEMORY FOAM</t>
  </si>
  <si>
    <t>726895082470</t>
  </si>
  <si>
    <t>Hotel Collection Diamond Stripe 20 Square Deco Blue</t>
  </si>
  <si>
    <t>FABRIC: LINEN/COTTON; FILL: POLYESTER</t>
  </si>
  <si>
    <t>38992936366</t>
  </si>
  <si>
    <t>Waterford Audrey Embroidered 20 x 20 D Grey 20x20</t>
  </si>
  <si>
    <t>DPADRYW05520X20</t>
  </si>
  <si>
    <t>675716611316</t>
  </si>
  <si>
    <t>INKIVY Stockholm Color Block Throw Aqua Throw</t>
  </si>
  <si>
    <t>II50-239</t>
  </si>
  <si>
    <t>86569045478</t>
  </si>
  <si>
    <t>INKIVY Stockholm Color Block Throw Grey Throw</t>
  </si>
  <si>
    <t>II50-1031</t>
  </si>
  <si>
    <t>675716488352</t>
  </si>
  <si>
    <t>Madison Park Emilia 50 x 95 Lined Faux-Si White 50x95</t>
  </si>
  <si>
    <t>WIN40-119</t>
  </si>
  <si>
    <t>190714335328</t>
  </si>
  <si>
    <t>Lacourte 2-Pk. Carolina 20 x 20 Decor Blush 20x20</t>
  </si>
  <si>
    <t>1125419BLUSH20X20</t>
  </si>
  <si>
    <t>675716488321</t>
  </si>
  <si>
    <t>Madison Park Emilia 50 x 84 Lined Faux-Si Bronze 50x84</t>
  </si>
  <si>
    <t>WIN40-118</t>
  </si>
  <si>
    <t>83/84 SGL</t>
  </si>
  <si>
    <t>733001451990</t>
  </si>
  <si>
    <t>Martha Stewart Collection Happy Holidays 14 x 22 Decor White 14x22</t>
  </si>
  <si>
    <t>83013311004</t>
  </si>
  <si>
    <t>Croscill Pennington 22 x 11 Boudoir D Multi</t>
  </si>
  <si>
    <t>2A0-530O0-7013</t>
  </si>
  <si>
    <t>190714145040</t>
  </si>
  <si>
    <t>Lacourte Handcrafted Reversible Solid C Silver 20x20</t>
  </si>
  <si>
    <t>1114124SIL20X20</t>
  </si>
  <si>
    <t>POLYESTER; FEATHER FILLED</t>
  </si>
  <si>
    <t>783048113467</t>
  </si>
  <si>
    <t>Pem America Darlene 3 pc twin comforter mi Yellow Twin</t>
  </si>
  <si>
    <t>CS3316TW-1540</t>
  </si>
  <si>
    <t>783048113405</t>
  </si>
  <si>
    <t>Pem America Ridgefield 2-Pc. Twin Comforte Multi Twin</t>
  </si>
  <si>
    <t>CS3246TW-1540</t>
  </si>
  <si>
    <t>675716996895</t>
  </si>
  <si>
    <t>Madison Park Zuri Faux-Fur 20 Square Decor Sand 20x20</t>
  </si>
  <si>
    <t>MP30-4814</t>
  </si>
  <si>
    <t>86569928368</t>
  </si>
  <si>
    <t>Madison Park Clay 2-Pc. Twin Duvet Cover Se Grey Twin</t>
  </si>
  <si>
    <t>MPE12-654</t>
  </si>
  <si>
    <t>190714140007</t>
  </si>
  <si>
    <t>Lacourte Nagori Handcrafted 14 x 24 D Blush 14x24</t>
  </si>
  <si>
    <t>1114126BLUSH14X24</t>
  </si>
  <si>
    <t>COTTON; FEATHER FILLED</t>
  </si>
  <si>
    <t>29927480573</t>
  </si>
  <si>
    <t>Sun Zero Sun Zero Preston 40 x 84 Gro Red 40x84</t>
  </si>
  <si>
    <t>29927388060</t>
  </si>
  <si>
    <t>No. 918 No. 918 Montego 56 x 24 Wind White 56x24</t>
  </si>
  <si>
    <t>706258050179</t>
  </si>
  <si>
    <t>Charter Club Damask Pima Cotton 550-Thread Horizon Sky Blue Standard Sham</t>
  </si>
  <si>
    <t>DLLSLSTHHZN</t>
  </si>
  <si>
    <t>885308472427</t>
  </si>
  <si>
    <t>Eclipse Darrell Thermaweave Mint 37x95</t>
  </si>
  <si>
    <t>16205037095MNT</t>
  </si>
  <si>
    <t>886087299335</t>
  </si>
  <si>
    <t>Lauren Ralph Lauren Pierce Cotton Washcloth Charcoal Grey</t>
  </si>
  <si>
    <t>706254463324</t>
  </si>
  <si>
    <t>Hotel Collection Ultimate MicroCotton 16 x 30 Seaspray Hand Towels</t>
  </si>
  <si>
    <t>HTLMCHSEA</t>
  </si>
  <si>
    <t>608356694425</t>
  </si>
  <si>
    <t>Charter Club Elite Hygro Cotton Hand Towel Azure Hand Towels</t>
  </si>
  <si>
    <t>706254464932</t>
  </si>
  <si>
    <t>Hotel Collection Ultimate MicroCotton 13 x 13 Seaspray Washcloths</t>
  </si>
  <si>
    <t>HTLMCWSEA</t>
  </si>
  <si>
    <t>32281289393</t>
  </si>
  <si>
    <t>MINNIE GOLD DOT 15X15 DE</t>
  </si>
  <si>
    <t>JF28939BBCD</t>
  </si>
  <si>
    <t>846339083280</t>
  </si>
  <si>
    <t>J Queen New York Giovani 4-Pc. California King Spa California King</t>
  </si>
  <si>
    <t>2246054WKCS</t>
  </si>
  <si>
    <t>848742092309</t>
  </si>
  <si>
    <t>Lush Decor Darla Ruched 3-Piece King Comf White King</t>
  </si>
  <si>
    <t>16T004805</t>
  </si>
  <si>
    <t>848742065457</t>
  </si>
  <si>
    <t>Lush Decor Bella 3-Piece King Comforter S White King</t>
  </si>
  <si>
    <t>16T002164</t>
  </si>
  <si>
    <t>843145106707</t>
  </si>
  <si>
    <t>Chic Home Chic Home Emily 20-Pc. King Be Coral King</t>
  </si>
  <si>
    <t>BCS06707</t>
  </si>
  <si>
    <t>30955226439</t>
  </si>
  <si>
    <t>Greenzone Greenzone Organic Cotton Queen White Queen</t>
  </si>
  <si>
    <t>MPOSO6080</t>
  </si>
  <si>
    <t>DREAMTEX HOME LLC</t>
  </si>
  <si>
    <t>846339075346</t>
  </si>
  <si>
    <t>J Queen New York Zilara FullQueen Coverlet White FullQueen</t>
  </si>
  <si>
    <t>2180020FQCOV</t>
  </si>
  <si>
    <t>840970157911</t>
  </si>
  <si>
    <t>Tahari Home Premium Embossed Deep Poc White Queen</t>
  </si>
  <si>
    <t>THPD1-001-QWH</t>
  </si>
  <si>
    <t>843145111541</t>
  </si>
  <si>
    <t>Chic Home Chic Home Kaiah 3-Pc. King Com White King</t>
  </si>
  <si>
    <t>BCS11541</t>
  </si>
  <si>
    <t>41808929940</t>
  </si>
  <si>
    <t>Jessica Simpson Flower Heart FullQueen 3-Piec Purple FullQueen</t>
  </si>
  <si>
    <t>A048718PUNDS</t>
  </si>
  <si>
    <t>709271377759</t>
  </si>
  <si>
    <t>Calvin Klein Modern Cotton Body Twin Duvet Charcoal Twin</t>
  </si>
  <si>
    <t>141BODY-TW-C1-D2</t>
  </si>
  <si>
    <t>91116722443</t>
  </si>
  <si>
    <t>Sanders Jessica Sanders Ruffled 7 Piec Charcoal Full</t>
  </si>
  <si>
    <t>KPFCS3F</t>
  </si>
  <si>
    <t>675716965686</t>
  </si>
  <si>
    <t>Intelligent Design Toren 9-Pc. Full Comforter Set Aqua Full</t>
  </si>
  <si>
    <t>ID10-1234</t>
  </si>
  <si>
    <t>FABRIC: POLYESTER; COMFORTER/PILLOW FILL: POLYESTER 5 OUNCES PER SQUARE YARD</t>
  </si>
  <si>
    <t>86569318787</t>
  </si>
  <si>
    <t>Madison Park Madison Park Midnight Garden 3 Blush FullQueen</t>
  </si>
  <si>
    <t>MP12-7060</t>
  </si>
  <si>
    <t>846339082207</t>
  </si>
  <si>
    <t>J Queen New York Bel Air Sand 33 x 49 Waterfa Sand ONE SIZE</t>
  </si>
  <si>
    <t>2260121WTRSW</t>
  </si>
  <si>
    <t>766195506733</t>
  </si>
  <si>
    <t>Tommy Hilfiger Broadcove European Sham TanBlue European Sham</t>
  </si>
  <si>
    <t>19T1126-EU-B1-O1</t>
  </si>
  <si>
    <t>734737425750</t>
  </si>
  <si>
    <t>Lacoste Home Solid Percale Full Sheet Set Allure Blue Full</t>
  </si>
  <si>
    <t>COTTON PERCALE</t>
  </si>
  <si>
    <t>86569902825</t>
  </si>
  <si>
    <t>SunSmart Mirage 50 x 108 Damask Total Champagne 50x108</t>
  </si>
  <si>
    <t>SS40-0015</t>
  </si>
  <si>
    <t>726895380200</t>
  </si>
  <si>
    <t>Hotel Collection Plume Queen Bedskirt White Queen</t>
  </si>
  <si>
    <t>1005781FQ</t>
  </si>
  <si>
    <t>SKIRT/PLATFORM: ALL COTTON.</t>
  </si>
  <si>
    <t>675716455651</t>
  </si>
  <si>
    <t>Madison Park Madison Park Andora 50 x 84 White 50x84</t>
  </si>
  <si>
    <t>WIN40-100</t>
  </si>
  <si>
    <t>83013301906</t>
  </si>
  <si>
    <t>Croscill Croscill Carlotta Fashion Deco Multi No Size</t>
  </si>
  <si>
    <t>2A0-582C0-8090</t>
  </si>
  <si>
    <t>732998868866</t>
  </si>
  <si>
    <t>Martha Stewart Collection Artisan Sunflower Patchwork St Multi Standard Sham</t>
  </si>
  <si>
    <t>100084993ST</t>
  </si>
  <si>
    <t>27399035505</t>
  </si>
  <si>
    <t>Vellux Vellux FullQueen Blanket Blush FullQueen</t>
  </si>
  <si>
    <t>A1WX035505</t>
  </si>
  <si>
    <t>47293298127</t>
  </si>
  <si>
    <t>Sure Fit Stretch Pique Ottoman Cover Garnet Ottoman Slipcover</t>
  </si>
  <si>
    <t>185026211A647GEOTTM</t>
  </si>
  <si>
    <t>POLYESTER/SPANDEX</t>
  </si>
  <si>
    <t>47293298097</t>
  </si>
  <si>
    <t>Sure Fit Stretch Pique Ottoman Cover Taupe Ottoman Slipcover</t>
  </si>
  <si>
    <t>185026211A280GEOTTM</t>
  </si>
  <si>
    <t>735732186127</t>
  </si>
  <si>
    <t>VCNY Home Sarah 18x18 Pillow Taupe 18x18</t>
  </si>
  <si>
    <t>JCQ-PLW-1818-KO-TAUP</t>
  </si>
  <si>
    <t>675716812430</t>
  </si>
  <si>
    <t>Sleep Philosophy Plaid Micro-Fleece FullQueen Grey FullQueen</t>
  </si>
  <si>
    <t>BL51-0896</t>
  </si>
  <si>
    <t>675716604059</t>
  </si>
  <si>
    <t>INKIVY Nadia 12 x 18 Metallic Ikat Gold 12x18</t>
  </si>
  <si>
    <t>II30-210</t>
  </si>
  <si>
    <t>SHELL: COTTON; POLYESTER FILL 270 GRAMS; THREAD COUNT: 200</t>
  </si>
  <si>
    <t>54006631409</t>
  </si>
  <si>
    <t>Achim Ombre 50x84 SS Blue 50x84</t>
  </si>
  <si>
    <t>OMPN84BL06</t>
  </si>
  <si>
    <t>886087186284</t>
  </si>
  <si>
    <t>Lauren Ralph Lauren Lauren Ralph Lauren Wescott 56 Sailcloth White</t>
  </si>
  <si>
    <t>10482321937</t>
  </si>
  <si>
    <t>Todays Home Tailored Standard 2-Pack Sham Mocha Standard Sham</t>
  </si>
  <si>
    <t>TOH24902MOCH07</t>
  </si>
  <si>
    <t>10482321913</t>
  </si>
  <si>
    <t>Todays Home Tailored Standard 2-Pack Sham Grey Standard Sham</t>
  </si>
  <si>
    <t>TOH24902GREY07</t>
  </si>
  <si>
    <t>10482321920</t>
  </si>
  <si>
    <t>Todays Home Tailored Standard 2-Pack Sham Ivory Standard Sham</t>
  </si>
  <si>
    <t>TOH24902IVOR07</t>
  </si>
  <si>
    <t>706256755502</t>
  </si>
  <si>
    <t>Hotel Collection Premier Hand Towel Sky</t>
  </si>
  <si>
    <t>HMLHSKY</t>
  </si>
  <si>
    <t>732999126989</t>
  </si>
  <si>
    <t>Martha Stewart Collection Vintage Folklore Quilted Stand Blue Standard Sham</t>
  </si>
  <si>
    <t>100079760ST</t>
  </si>
  <si>
    <t>86569283160</t>
  </si>
  <si>
    <t>Urban Habitat Rhinestone Starburst Cotton 28 Grey No Size</t>
  </si>
  <si>
    <t>MCH73-1582</t>
  </si>
  <si>
    <t>766195412850</t>
  </si>
  <si>
    <t>MIST TH ALL AMERICAN B STEEL BASIC</t>
  </si>
  <si>
    <t>TH0844</t>
  </si>
  <si>
    <t>86569287588</t>
  </si>
  <si>
    <t>Urban Dreams Urban Dreams 3D Space Monkey P White 50x60</t>
  </si>
  <si>
    <t>MCH21-1617</t>
  </si>
  <si>
    <t>726895142617</t>
  </si>
  <si>
    <t>Hotel Collection Ultimate MicroCotton Mingled S Vapor Combo Grey Hand Towels</t>
  </si>
  <si>
    <t>732994993913</t>
  </si>
  <si>
    <t>Charter Club Plaid Cotton 16 x 30 Hand To Smoke Hand Towels</t>
  </si>
  <si>
    <t>732994993814</t>
  </si>
  <si>
    <t>Charter Club Elite Fashion Medallion Cotton Cornflower Blue Hand Towels</t>
  </si>
  <si>
    <t>732994993920</t>
  </si>
  <si>
    <t>Charter Club Plaid Cotton 16 x 30 Hand To Desert Hand Towels</t>
  </si>
  <si>
    <t>726895082142</t>
  </si>
  <si>
    <t>Hotel Collection Supima Cotton Quick-Dry Hand Cadet</t>
  </si>
  <si>
    <t>706255367485</t>
  </si>
  <si>
    <t>Hotel Collection Tile Diamond Cotton 13 x 13 Vapor Combo Washcloths</t>
  </si>
  <si>
    <t>706255367508</t>
  </si>
  <si>
    <t>Hotel Collection Tile Diamond Cotton 13 x 13 Lake Combo Washcloths</t>
  </si>
  <si>
    <t>726895142679</t>
  </si>
  <si>
    <t>Hotel Collection Ultimate MicroCotton Mingled S Lake Combo Blue Washcloths</t>
  </si>
  <si>
    <t>732994993838</t>
  </si>
  <si>
    <t>Charter Club Elite Fashion Medallion Cotton Cornflower Blue Washcloths</t>
  </si>
  <si>
    <t>706254464918</t>
  </si>
  <si>
    <t>Hotel Collection Ultimate MicroCotton 13 x 13 Pear Washcloths</t>
  </si>
  <si>
    <t>HTLMCWPER</t>
  </si>
  <si>
    <t>848405039528</t>
  </si>
  <si>
    <t>Mainstream International Inc. Basket Weave Cotton 12 x 12 Ivory Washcloths</t>
  </si>
  <si>
    <t>MACPRO204109</t>
  </si>
  <si>
    <t>766195440556</t>
  </si>
  <si>
    <t>Tommy Hilfiger All American II Cotton Washclo Swedish Blue Washcloths</t>
  </si>
  <si>
    <t>079387TH006</t>
  </si>
  <si>
    <t>766195440730</t>
  </si>
  <si>
    <t>Tommy Hilfiger All American II Cotton Washclo Raspberry Washcloths</t>
  </si>
  <si>
    <t>079387TH024</t>
  </si>
  <si>
    <t>MEDIUN RED</t>
  </si>
  <si>
    <t>766195440822</t>
  </si>
  <si>
    <t>Tommy Hilfiger All American II Cotton Washclo Mist Blue Washcloths</t>
  </si>
  <si>
    <t>079387TH033</t>
  </si>
  <si>
    <t>732995009262</t>
  </si>
  <si>
    <t>Charter Club Cotton 13 x 13 Wash Towel Grey Oyster Washcloths</t>
  </si>
  <si>
    <t>813538023720</t>
  </si>
  <si>
    <t>CHELSEA 8PC</t>
  </si>
  <si>
    <t>21864308590</t>
  </si>
  <si>
    <t>MADEMOISELLE LINEN</t>
  </si>
  <si>
    <t>840444151209</t>
  </si>
  <si>
    <t>Chic Home Chic Home Bliss Garden 12-Pc. Yellow Queen</t>
  </si>
  <si>
    <t>CS5120-MC</t>
  </si>
  <si>
    <t>FABRIC: 100% POLYESTER MICROFIBER</t>
  </si>
  <si>
    <t>883893390560</t>
  </si>
  <si>
    <t>Laura Ashley Laura Ashley Queen Charlotte C China Blue Queen</t>
  </si>
  <si>
    <t>96675641259</t>
  </si>
  <si>
    <t>SensorPEDIC SensorCOOL 3-Inch Gel-Infused White Twin</t>
  </si>
  <si>
    <t>86569115171</t>
  </si>
  <si>
    <t>Natori N Natori Sakura Blossom King 3 Lilac King</t>
  </si>
  <si>
    <t>NS12-3258</t>
  </si>
  <si>
    <t>NATORI/JLA HOME/E &amp; E CO LTD</t>
  </si>
  <si>
    <t>COTTON SATEEN</t>
  </si>
  <si>
    <t>883893483866</t>
  </si>
  <si>
    <t>Marimekko Jurmo Dark Shadow Gray Cotton Dark Grey FullQueen</t>
  </si>
  <si>
    <t>DUVET AND SHAMS: 100% COTTON</t>
  </si>
  <si>
    <t>732999785056</t>
  </si>
  <si>
    <t>Hotel Collection Feather Core Down Surround Fir White Standard</t>
  </si>
  <si>
    <t>100105539SQ</t>
  </si>
  <si>
    <t>675716479893</t>
  </si>
  <si>
    <t>Madison Park Madison Park Malone 7-Pc Queen Blue Queen</t>
  </si>
  <si>
    <t>MP10-525</t>
  </si>
  <si>
    <t>100% POLYESTER; COMFORTER FILL: 100% POLYESTER; DECORATIVE PILLOW FILL: 100% POLYESTER</t>
  </si>
  <si>
    <t>190733009415</t>
  </si>
  <si>
    <t>Linum Home Linum Home 100 Turkish Cotton R SM</t>
  </si>
  <si>
    <t>HB00-SM-CHRY-50-R</t>
  </si>
  <si>
    <t>46249627950</t>
  </si>
  <si>
    <t>Tommy Hilfiger Ditch Plains FullQueen Comfo Multi FullQueen</t>
  </si>
  <si>
    <t>17T0397-FQ-M1-D1</t>
  </si>
  <si>
    <t>86569349279</t>
  </si>
  <si>
    <t>Addison Park Brystol blue Queen 9pc Comfort Blue Brown Queen</t>
  </si>
  <si>
    <t>MCH10-1705</t>
  </si>
  <si>
    <t>735732586323</t>
  </si>
  <si>
    <t>VCNY Home Darryl 18-Pc. Twin XL Room in Taupe Twin XL</t>
  </si>
  <si>
    <t>D4L-18C-XLTW-GP-TAUP</t>
  </si>
  <si>
    <t>732998408598</t>
  </si>
  <si>
    <t>Martha Stewart Collection Reversible Printed Geometric S Blue KingCalifornia King</t>
  </si>
  <si>
    <t>100082682KG</t>
  </si>
  <si>
    <t>734737637306</t>
  </si>
  <si>
    <t>Sunham June Charcoal FullQueen CS Charcoal Queen</t>
  </si>
  <si>
    <t>191790029071</t>
  </si>
  <si>
    <t>Fairfield Square Collection Hampton Cotton 650-Thread Coun Taupe King</t>
  </si>
  <si>
    <t>24012104025AQT</t>
  </si>
  <si>
    <t>732998869641</t>
  </si>
  <si>
    <t>Martha Stewart Collection Engineered Plaid Reversible Fu Blue FullQueen</t>
  </si>
  <si>
    <t>100082695FQ</t>
  </si>
  <si>
    <t>191790036925</t>
  </si>
  <si>
    <t>AQ Textiles Ultra Lux T800 Cotton 4 piece White King</t>
  </si>
  <si>
    <t>24942104001AQT</t>
  </si>
  <si>
    <t>733001891864</t>
  </si>
  <si>
    <t>Martha Stewart Collection Checker Floral 100 Cotton Ful Yellow FullQueen</t>
  </si>
  <si>
    <t>100115802FQ</t>
  </si>
  <si>
    <t>655385040648</t>
  </si>
  <si>
    <t>Elite Home Organic Cotton Duvet Sets Oat King</t>
  </si>
  <si>
    <t>300DSKG514ORGNC</t>
  </si>
  <si>
    <t>734737581920</t>
  </si>
  <si>
    <t>Sunham Bella Blue 12-Pc. Reversible K Blue King</t>
  </si>
  <si>
    <t>29927565645</t>
  </si>
  <si>
    <t>Sun Zero Sun Zero Rhett 52 x 96 Theat Natural 52x96</t>
  </si>
  <si>
    <t>191790025363</t>
  </si>
  <si>
    <t>AQ Textiles Parker 1200-Thread Count 4-Pc. Blush Queen</t>
  </si>
  <si>
    <t>23422103139AQT</t>
  </si>
  <si>
    <t>191790022140</t>
  </si>
  <si>
    <t>23112103001AQT</t>
  </si>
  <si>
    <t>679610822557</t>
  </si>
  <si>
    <t>Hallmart Collectibles Scroll Medallion 12 PC Reversi Blue Full</t>
  </si>
  <si>
    <t>FIBER: 100% POLYESTER; FILLING: 100% POLYESTER; SHEETS: 100% POLYESTER</t>
  </si>
  <si>
    <t>733001486831</t>
  </si>
  <si>
    <t>Martha Stewart Collection Whim By Martha Stewart Collect Holiday Flamingo Queen</t>
  </si>
  <si>
    <t>100103346QN</t>
  </si>
  <si>
    <t>783048124777</t>
  </si>
  <si>
    <t>Pem America Floral Bouquet Queen 8PC Comfo Purple Queen</t>
  </si>
  <si>
    <t>BIB3546QN-3240</t>
  </si>
  <si>
    <t>840970154873</t>
  </si>
  <si>
    <t>Cathay Home Inc. Oversize Lightweight Quilt Set Dark Grey FullQueen</t>
  </si>
  <si>
    <t>918915-FQ</t>
  </si>
  <si>
    <t>734737581531</t>
  </si>
  <si>
    <t>Fairfield Square Collection Francie 6-Pc. Reversible Twin Burnt Red Twin XL</t>
  </si>
  <si>
    <t>732996250007</t>
  </si>
  <si>
    <t>Charter Club 360 Down Chamber 325-Thread Co White King</t>
  </si>
  <si>
    <t>100069245KG</t>
  </si>
  <si>
    <t>22415657167</t>
  </si>
  <si>
    <t>Sealy 100 Cotton Extra Firm Support White Queen</t>
  </si>
  <si>
    <t>783048140265</t>
  </si>
  <si>
    <t>FABRIC: 100% COTTON 250 GRAMS PER SQUARE METER; THREAD COUNT: 250, REVERSES TO 144</t>
  </si>
  <si>
    <t>788904185299</t>
  </si>
  <si>
    <t>Elle Decor Cotton Gusseted Mattress Toppe White Queen</t>
  </si>
  <si>
    <t>EL710503</t>
  </si>
  <si>
    <t>735732860171</t>
  </si>
  <si>
    <t>VCNY Home VCNY Home Carmen Pintuck 4 Pie White Queen</t>
  </si>
  <si>
    <t>CMN-4CS-QUEN-OV-WHIT</t>
  </si>
  <si>
    <t>810031410811</t>
  </si>
  <si>
    <t>Happycare Textiles Happycare Textiles Durable Bol Brown</t>
  </si>
  <si>
    <t>HCT-TX-OVAL-BXL 3389</t>
  </si>
  <si>
    <t>706257399927</t>
  </si>
  <si>
    <t>68H19QNFL</t>
  </si>
  <si>
    <t>734737485655</t>
  </si>
  <si>
    <t>Fairfield Square Collection Austin 8-Pc. Reversible Comfor Blue Queen</t>
  </si>
  <si>
    <t>1575C229V</t>
  </si>
  <si>
    <t>191790022171</t>
  </si>
  <si>
    <t>AQ Textiles Optimum Performance 625-Thread Blue Queen</t>
  </si>
  <si>
    <t>23102103002AQT</t>
  </si>
  <si>
    <t>877512003269</t>
  </si>
  <si>
    <t>Cathay Home Inc. All Season Extra Soft Down Alt Sage Queen</t>
  </si>
  <si>
    <t>ADC-SAG-Q</t>
  </si>
  <si>
    <t>734737422933</t>
  </si>
  <si>
    <t>Fairfield Square Collection Austin 8-Pc. Reversible Comfor Red Twin</t>
  </si>
  <si>
    <t>15977029V</t>
  </si>
  <si>
    <t>735837086315</t>
  </si>
  <si>
    <t>Hotel Collection Step Up Down-Alternative Mediu White Standard</t>
  </si>
  <si>
    <t>HDAMJ904</t>
  </si>
  <si>
    <t>96675639775</t>
  </si>
  <si>
    <t>SensorGel Cool Fusion King Pillow with C White King</t>
  </si>
  <si>
    <t>807882434530</t>
  </si>
  <si>
    <t>THRO Ibenz Ice Velvet Pillow, 14 x Pacific</t>
  </si>
  <si>
    <t>TH014510001E</t>
  </si>
  <si>
    <t>746885385602</t>
  </si>
  <si>
    <t>Miller Curtains Kailey 50 x 84 Grommet Panel NaturalGold 50x84</t>
  </si>
  <si>
    <t>MCKO69101084</t>
  </si>
  <si>
    <t>POLYESTER/LINEN</t>
  </si>
  <si>
    <t>96675467446</t>
  </si>
  <si>
    <t>SensorPEDIC 2 Pack SofLOFT Firm Density Pi White Standard</t>
  </si>
  <si>
    <t>791551864363</t>
  </si>
  <si>
    <t>Berkshire VelvetLoft Plaid 50 x 60 Thr Enfield Plaid Red ONE SIZE</t>
  </si>
  <si>
    <t>E4951-T1-LG9</t>
  </si>
  <si>
    <t>96675642126</t>
  </si>
  <si>
    <t>SensorGel Wellness by Supportive Memory White Standard</t>
  </si>
  <si>
    <t>FACE: POLYESTER; INNER YARNS: POLYESTER; BACK: POLYESTER/ METALLIC</t>
  </si>
  <si>
    <t>29927507072</t>
  </si>
  <si>
    <t>Sun Zero Cooper 40 x 84 Thermal Insul Blue 40x84</t>
  </si>
  <si>
    <t>29927577860</t>
  </si>
  <si>
    <t>Sun Zero Sun Zero Preston 40 x 84 Gro Denim 40x84</t>
  </si>
  <si>
    <t>706254616553</t>
  </si>
  <si>
    <t>Hotel Collection Borderline 30 x 56 Bath Towe Midnight Bath Towels</t>
  </si>
  <si>
    <t>HTLBRDBMD</t>
  </si>
  <si>
    <t>86569973801</t>
  </si>
  <si>
    <t>Madison Park Madison Park Simple Fit One Si Khaki ONE SIZE</t>
  </si>
  <si>
    <t>MP11-5368</t>
  </si>
  <si>
    <t>MICROFIBER FROM 100% POLYESTER</t>
  </si>
  <si>
    <t>766195416636</t>
  </si>
  <si>
    <t>Tommy Hilfiger Firm-Density StandardQueen Pi White StandardQueen</t>
  </si>
  <si>
    <t>TH1628748</t>
  </si>
  <si>
    <t>TOMMY HILFIGER HOME/HIMATSINGKA</t>
  </si>
  <si>
    <t>SHELL: COTTON; FILL: POLYESTER</t>
  </si>
  <si>
    <t>86569373144</t>
  </si>
  <si>
    <t>MS DS MP WP K BASIC</t>
  </si>
  <si>
    <t>SLPSC2K10</t>
  </si>
  <si>
    <t>732999786497</t>
  </si>
  <si>
    <t>Charter Club Gusseted Firm StandardQueen P White Standard</t>
  </si>
  <si>
    <t>100106167SQ</t>
  </si>
  <si>
    <t>841230061054</t>
  </si>
  <si>
    <t>Tempur-Pedic Tempur-Down Adjustable Support White King</t>
  </si>
  <si>
    <t>POLYESTER/ELASTIN; NETTING: POLYESTER</t>
  </si>
  <si>
    <t>733001947943</t>
  </si>
  <si>
    <t>Martha Stewart Collection Floral Bouquet King Bedspread, Ivory King</t>
  </si>
  <si>
    <t>100115801KG</t>
  </si>
  <si>
    <t>38992010707</t>
  </si>
  <si>
    <t>Waterford Anya Pole Top Pair of Window P Pale Gold ONE SIZE</t>
  </si>
  <si>
    <t>CNANYAW7091184P</t>
  </si>
  <si>
    <t>DARKYELLOW</t>
  </si>
  <si>
    <t>PANEL: POLYESTER; LINING: COTTON/POLYESTER</t>
  </si>
  <si>
    <t>732999175345</t>
  </si>
  <si>
    <t>Lucky Brand Textured Woven Cotton 3-Pc. Fu White FullQueen</t>
  </si>
  <si>
    <t>100057544FQ</t>
  </si>
  <si>
    <t>726895066722</t>
  </si>
  <si>
    <t>Hotel Collection Cotton Diamond Stripe FullQue Grey FullQueen</t>
  </si>
  <si>
    <t>1003966FQ</t>
  </si>
  <si>
    <t>675716809577</t>
  </si>
  <si>
    <t>Madison Park Madison Park Harper Velvet 3-P Ivory FullQueen</t>
  </si>
  <si>
    <t>MP13-3301</t>
  </si>
  <si>
    <t>671826988898</t>
  </si>
  <si>
    <t>F. Scott Fitzgerald F Scott Fitzgerald Lumiere Cre Natural</t>
  </si>
  <si>
    <t>LUCR-P26</t>
  </si>
  <si>
    <t>26X26</t>
  </si>
  <si>
    <t>SISCOVERS/SIS ENTERPRISES INC</t>
  </si>
  <si>
    <t>783048107923</t>
  </si>
  <si>
    <t>Truly Soft Curtis Stripe King Comforter S Grey King</t>
  </si>
  <si>
    <t>CS3229KC-1500</t>
  </si>
  <si>
    <t>877681003534</t>
  </si>
  <si>
    <t>Mod Lifestyles Mod Lifestyles Classic Throw C Camel</t>
  </si>
  <si>
    <t>BL-1076</t>
  </si>
  <si>
    <t>MOD LIFESTYLES</t>
  </si>
  <si>
    <t>734737563155</t>
  </si>
  <si>
    <t>Sunham Emory 420-Thread Count 4-Pc. Q White Queen</t>
  </si>
  <si>
    <t>86569929334</t>
  </si>
  <si>
    <t>Urban Habitat Urban Habitat Space Dyed Full Blue Full</t>
  </si>
  <si>
    <t>UH20-2129</t>
  </si>
  <si>
    <t>100% COTTON, 135 GSM, SPACE DYED JERSEY SHEETS</t>
  </si>
  <si>
    <t>816651028740</t>
  </si>
  <si>
    <t>ienjoy Home Tranquil Sleep Patterned Duvet Sage Chevron KingCalifornia King</t>
  </si>
  <si>
    <t>DUVPUFKIENJ</t>
  </si>
  <si>
    <t>734737422940</t>
  </si>
  <si>
    <t>Fairfield Square Collection Austin 8-Pc. Reversible Comfor Red Full</t>
  </si>
  <si>
    <t>15977129V</t>
  </si>
  <si>
    <t>675716958725</t>
  </si>
  <si>
    <t>Madison Park Harper 42 x 216 Solid Crushe Cream 42x216</t>
  </si>
  <si>
    <t>MP40-4529</t>
  </si>
  <si>
    <t>726895380170</t>
  </si>
  <si>
    <t>Hotel Collection Plume Quilted Standard Sham White Standard Sham</t>
  </si>
  <si>
    <t>1005628SD</t>
  </si>
  <si>
    <t>26865919615</t>
  </si>
  <si>
    <t>Elrene Elrene Antonia 52 x 84 Black Taupe 52x84</t>
  </si>
  <si>
    <t>20860TAU</t>
  </si>
  <si>
    <t>191790040854</t>
  </si>
  <si>
    <t>AQ Textiles Camden Sateen 1250-Thread Coun Taupe Full</t>
  </si>
  <si>
    <t>25542102025AQT</t>
  </si>
  <si>
    <t>840970141804</t>
  </si>
  <si>
    <t>Cathay Home Inc. Microfiber Washed Crinkle Duve Rose Blush FullQueen</t>
  </si>
  <si>
    <t>917719-ROS-F-Q</t>
  </si>
  <si>
    <t>675716589011</t>
  </si>
  <si>
    <t>Madison Park Madison Park Serene 72 x 72 Blue 72X72</t>
  </si>
  <si>
    <t>MP70-1392</t>
  </si>
  <si>
    <t>675716958688</t>
  </si>
  <si>
    <t>Madison Park Harper 42 x 84 Solid Crushed Cream 42x84</t>
  </si>
  <si>
    <t>MP40-4525</t>
  </si>
  <si>
    <t>810026172540</t>
  </si>
  <si>
    <t>Cheer Collection 2-Pack of Euro Pillows, 26 x White European</t>
  </si>
  <si>
    <t>CC-EUROPLW-WH</t>
  </si>
  <si>
    <t>CHEER COLLECTION/DIGITALPRINTS USA</t>
  </si>
  <si>
    <t>42437013918</t>
  </si>
  <si>
    <t>Kenney Twist Fit No Tools Decorati Polished Pewter</t>
  </si>
  <si>
    <t>KN60966REM</t>
  </si>
  <si>
    <t>STEEL/PLASTIC</t>
  </si>
  <si>
    <t>675716805449</t>
  </si>
  <si>
    <t>Urban Habitat Lexi Colorblocked Throw Blue Throw</t>
  </si>
  <si>
    <t>BL50-0888</t>
  </si>
  <si>
    <t>ACRYLIC 220 GRAMS PER SQUARE METER</t>
  </si>
  <si>
    <t>86569363466</t>
  </si>
  <si>
    <t>Martha Stewart Collection Essentials Solid Comforter Ful Grey FullQueen</t>
  </si>
  <si>
    <t>POLYESTER; POLYESTER FILL AND COVER</t>
  </si>
  <si>
    <t>86569039484</t>
  </si>
  <si>
    <t>Madison Park Duke Ribbed 50 x 60 Faux-Fur Blue 50x60</t>
  </si>
  <si>
    <t>MP50-5784</t>
  </si>
  <si>
    <t>COVER: 100% POLYESTER FAUX FUR; FILLING: POLYSTYRENE BEADS</t>
  </si>
  <si>
    <t>26865854251</t>
  </si>
  <si>
    <t>Elrene Elrene All Seasons Faux Silk 5 Taupe 52x36</t>
  </si>
  <si>
    <t>732995601633</t>
  </si>
  <si>
    <t>HP 680 S PC PUMICE</t>
  </si>
  <si>
    <t>100050562SD</t>
  </si>
  <si>
    <t>726895578324</t>
  </si>
  <si>
    <t>Martha Stewart Collection Solid Open Stock 400-Thread Co Mint Mint Green Queen Fitted</t>
  </si>
  <si>
    <t>784857925838</t>
  </si>
  <si>
    <t>Villa Luxe 2-Pc. Faux-Fur Memory Foam Bat White No Size</t>
  </si>
  <si>
    <t>YK700125</t>
  </si>
  <si>
    <t>732996555829</t>
  </si>
  <si>
    <t>Hotel Collection Turkish 30 x 56 Bath Towel Lilac Dusk Bath Towels</t>
  </si>
  <si>
    <t>HTLTURBLLD</t>
  </si>
  <si>
    <t>MED PURPLE</t>
  </si>
  <si>
    <t>791551525837</t>
  </si>
  <si>
    <t>Berkshire Berkshire Classic Velvety Plus Humus FullQueen</t>
  </si>
  <si>
    <t>13841-FQ-52T</t>
  </si>
  <si>
    <t>54006245170</t>
  </si>
  <si>
    <t>Achim Darcy 52x84 TW Navywhite 52x84</t>
  </si>
  <si>
    <t>DRPN84NW06</t>
  </si>
  <si>
    <t>29927425529</t>
  </si>
  <si>
    <t>No. 918 No. 918 Montego 48 x 95 Cu White 48x95</t>
  </si>
  <si>
    <t>42075586508</t>
  </si>
  <si>
    <t>Peri Home Kilim Bath Towel Multi Bath Towels</t>
  </si>
  <si>
    <t>3-08660BMU</t>
  </si>
  <si>
    <t>646998643388</t>
  </si>
  <si>
    <t>CHF Reversible Watercolor Floral-P Aqua 50x84</t>
  </si>
  <si>
    <t>1-40420GAQ</t>
  </si>
  <si>
    <t>732997005354</t>
  </si>
  <si>
    <t>Martha Stewart Collection Essentials Solid Microfiber 3- Bright White Twin</t>
  </si>
  <si>
    <t>10014996TW</t>
  </si>
  <si>
    <t>10482003505</t>
  </si>
  <si>
    <t>Fresh Ideas Poplin Tailored Pillow Euro Sh Navy European Sham</t>
  </si>
  <si>
    <t>FRE201XXNAVY11</t>
  </si>
  <si>
    <t>651896642845</t>
  </si>
  <si>
    <t>Morgan Home CLOSEOUT Printed Plush 18 De Paris Amour No Size</t>
  </si>
  <si>
    <t>M642845</t>
  </si>
  <si>
    <t>733002395521</t>
  </si>
  <si>
    <t>Charter Club Elite Cotton Tri-Stripe 30 x Lemon Citrus Bath Towels</t>
  </si>
  <si>
    <t>706255871678</t>
  </si>
  <si>
    <t>Martha Stewart Collection Quick Dry Reversible Bath Towe Aqua Glass Bath Towels</t>
  </si>
  <si>
    <t>MSQDRBAQ</t>
  </si>
  <si>
    <t>46249648115</t>
  </si>
  <si>
    <t>Tommy Hilfiger Modern American Double Stripe Greynavy Bath Towels</t>
  </si>
  <si>
    <t>27T0468-BT-S1-D1</t>
  </si>
  <si>
    <t>732995009187</t>
  </si>
  <si>
    <t>Charter Club Cotton 16 x 30 Hand Towel White Lily Hand Towels</t>
  </si>
  <si>
    <t>806222684550</t>
  </si>
  <si>
    <t>Divatex Divatex Quick Dry 12 x 12 Wa White Washcloths</t>
  </si>
  <si>
    <t>2750118-WA-W1-O360</t>
  </si>
  <si>
    <t>38992939756</t>
  </si>
  <si>
    <t>Waterford Waterford Gael Reversible 4 Pi Platinum-Gold Queen</t>
  </si>
  <si>
    <t>CSGAELW96403QU</t>
  </si>
  <si>
    <t>733002201730</t>
  </si>
  <si>
    <t>Martha Stewart Collection Sailboat Yarn Dye Patchwork 10 Blue King</t>
  </si>
  <si>
    <t>100115872KG</t>
  </si>
  <si>
    <t>734737671577</t>
  </si>
  <si>
    <t>Fairfield Square Collection Lemon 8-Pc. Reversible Queen C Blue Queen</t>
  </si>
  <si>
    <t>810033092930</t>
  </si>
  <si>
    <t>Caro Home Isadora Cotton 16 x 26 Hand Medium Grey Hand Towels</t>
  </si>
  <si>
    <t>HT1152T1203</t>
  </si>
  <si>
    <t>BUCK</t>
  </si>
  <si>
    <t>CARO HOME LLC</t>
  </si>
  <si>
    <t>726895696356</t>
  </si>
  <si>
    <t>Hotel Collection Voile King Coverlet Grey King</t>
  </si>
  <si>
    <t>100024681KG</t>
  </si>
  <si>
    <t>86569272720</t>
  </si>
  <si>
    <t>Urban Habitat Urban Habitat Calum 5-Piece Ki Blush KingCalifornia King</t>
  </si>
  <si>
    <t>UH12-2295</t>
  </si>
  <si>
    <t>86569101181</t>
  </si>
  <si>
    <t>INKIVY INKIVY Rhea KingCal King 3-P Ivorycharcoal King</t>
  </si>
  <si>
    <t>II12-1041</t>
  </si>
  <si>
    <t>879421010161</t>
  </si>
  <si>
    <t>Nanshing Kath 7-Piece Comforter Set, Br Brown Queen</t>
  </si>
  <si>
    <t>KATH7-Q</t>
  </si>
  <si>
    <t>NANSHING AMERICA INC</t>
  </si>
  <si>
    <t>706258596141</t>
  </si>
  <si>
    <t>Charter Club Ultra Fine Cotton 800-Thread C Ivory California King</t>
  </si>
  <si>
    <t>T800CKSIVR</t>
  </si>
  <si>
    <t>732997493984</t>
  </si>
  <si>
    <t>Charter Club Damask Cotton 550-Thread Count White King</t>
  </si>
  <si>
    <t>100068875KG</t>
  </si>
  <si>
    <t>732995316162</t>
  </si>
  <si>
    <t>Hotel Collection Luxe Border 170-Thread Count Q Ivory FullQueen</t>
  </si>
  <si>
    <t>100047274QN</t>
  </si>
  <si>
    <t>HOTEL COLLECTION-EDI/PARALLEL COTTO</t>
  </si>
  <si>
    <t>733002201822</t>
  </si>
  <si>
    <t>Martha Stewart Collection Painterly Flr 3Pc Quilt Set Kg Lightpastel Grey King</t>
  </si>
  <si>
    <t>100120187KG</t>
  </si>
  <si>
    <t>46249612611</t>
  </si>
  <si>
    <t>Tommy Hilfiger Heritage Stripe 3 Piece FullQ Red FullQueen</t>
  </si>
  <si>
    <t>17T0234-FQ-R1-D1</t>
  </si>
  <si>
    <t>86569030535</t>
  </si>
  <si>
    <t>Madison Park Madison Park Laetitia FullQue Ivory FullQueen</t>
  </si>
  <si>
    <t>MP13-5875</t>
  </si>
  <si>
    <t>COVERLET/SHAM - 100% COTTON</t>
  </si>
  <si>
    <t>679610822755</t>
  </si>
  <si>
    <t>Hallmart Collectibles Farrington 8-Pc. Reversible Ki Blush King</t>
  </si>
  <si>
    <t>22415224246</t>
  </si>
  <si>
    <t>Sealy Sealy Premium Down Wrap Pillow White King</t>
  </si>
  <si>
    <t>96675807037</t>
  </si>
  <si>
    <t>SensorPEDIC Luxury Extraordinaire Gusseted White King</t>
  </si>
  <si>
    <t>VISCOSE RAYON/POLYESTER WITH MEMORY FOAM FILL</t>
  </si>
  <si>
    <t>706255878493</t>
  </si>
  <si>
    <t>Hotel Collection Hotel Collection 525 Thread Co Light Bronze Twin</t>
  </si>
  <si>
    <t>5B15TSS790</t>
  </si>
  <si>
    <t>734737485662</t>
  </si>
  <si>
    <t>Fairfield Square Collection Austin 8-Pc. Reversible Comfor Blue King</t>
  </si>
  <si>
    <t>1575C329V</t>
  </si>
  <si>
    <t>732996468167</t>
  </si>
  <si>
    <t>Hotel Collection Classic Roseblush 18 x 18 De Blush 18x18</t>
  </si>
  <si>
    <t>709271489889</t>
  </si>
  <si>
    <t>Calvin Klein Calvin Klein Monaco Queen Shee White Queen</t>
  </si>
  <si>
    <t>1010225-QN-W1-D2</t>
  </si>
  <si>
    <t>783048124708</t>
  </si>
  <si>
    <t>Pem America Blue Watercolor Floral Full 8P Blue Full</t>
  </si>
  <si>
    <t>BIB3544FU-3240</t>
  </si>
  <si>
    <t>675716792886</t>
  </si>
  <si>
    <t>Woolrich Tasha Reversible Plaid 50 x 7 Taupe 50x70</t>
  </si>
  <si>
    <t>WR50-1782</t>
  </si>
  <si>
    <t>FABRIC: COTTON; 250 GRAMS PER SQUARE METER COTTON/POLYESTER/OTHER FIBERS FILL; THREAD COUNT: 144</t>
  </si>
  <si>
    <t>675716792909</t>
  </si>
  <si>
    <t>Woolrich Woolrich Plaid Patchwork Quilt Taupe 50x70</t>
  </si>
  <si>
    <t>WR50-1784</t>
  </si>
  <si>
    <t>675716608996</t>
  </si>
  <si>
    <t>Madison Park Spa 3M Scotchgard Waffle-We Grey 72X72</t>
  </si>
  <si>
    <t>MP70-1484</t>
  </si>
  <si>
    <t>840008370503</t>
  </si>
  <si>
    <t>Dr. Oz Good Life Dr. Oz Good Life Stay the Nigh White Standard</t>
  </si>
  <si>
    <t>OZGLSSHFSD</t>
  </si>
  <si>
    <t>29927549089</t>
  </si>
  <si>
    <t>Archaeo Archaeo Slub Textured Linen Bl Ivory 52x95</t>
  </si>
  <si>
    <t>93% POLYESTER/7% LINEN</t>
  </si>
  <si>
    <t>26865901566</t>
  </si>
  <si>
    <t>Elrene Elrene Mia Jacquard 52 x 19 Blue 52x19</t>
  </si>
  <si>
    <t>19986BLU</t>
  </si>
  <si>
    <t>86569902788</t>
  </si>
  <si>
    <t>SunSmart Mirage 50 x 84 Damask Total Champagne 50x84</t>
  </si>
  <si>
    <t>SS40-0013</t>
  </si>
  <si>
    <t>788904002107</t>
  </si>
  <si>
    <t>Blue Ridge Blue Ridge Reversible Down Alt Navylight Blue FullQueen</t>
  </si>
  <si>
    <t>86569897336</t>
  </si>
  <si>
    <t>Madison Park Zuri Faux-Fur 25 Square Europ Chocolate ONE SIZE</t>
  </si>
  <si>
    <t>MP30-4832</t>
  </si>
  <si>
    <t>25X25</t>
  </si>
  <si>
    <t>FAUX-FUR FABRIC: POLYESTER; POLYESTER FILL</t>
  </si>
  <si>
    <t>96675641006</t>
  </si>
  <si>
    <t>SensorPEDIC Gel-Overlay Memory Foam Comfor White Standard</t>
  </si>
  <si>
    <t>RAYON/POLYESTER</t>
  </si>
  <si>
    <t>29927554106</t>
  </si>
  <si>
    <t>Sun Zero Sun Zero Kids Riley 40 x 95 Blush 40x95</t>
  </si>
  <si>
    <t>732995797626</t>
  </si>
  <si>
    <t>Martha Stewart Collection Essentials Jersey 3-Pc Twin Sh Heathered Pink Twin</t>
  </si>
  <si>
    <t>29927512663</t>
  </si>
  <si>
    <t>No. 918 Bimini Textured Floral 51 x 8 Aegean 51x84</t>
  </si>
  <si>
    <t>29927511079</t>
  </si>
  <si>
    <t>No. 918 No. 918 Brew 3-Pc. Graphic-Pri White 54x36</t>
  </si>
  <si>
    <t>32281252137</t>
  </si>
  <si>
    <t>Disney Princess Dream Big 2pk Squishy Disney Princess</t>
  </si>
  <si>
    <t>JF25213</t>
  </si>
  <si>
    <t>706258616337</t>
  </si>
  <si>
    <t>Martha Stewart Collection Essentials 2-Pack King Pillow White King</t>
  </si>
  <si>
    <t>100058083KG</t>
  </si>
  <si>
    <t>706258617631</t>
  </si>
  <si>
    <t>Martha Stewart Collection Essentials Waterproof Bed Bug White StandardQueen</t>
  </si>
  <si>
    <t>100058085QN</t>
  </si>
  <si>
    <t>41808712146</t>
  </si>
  <si>
    <t>Modern Heirloom Modern Heirloom Heather Full B White Full</t>
  </si>
  <si>
    <t>80PHS021B10C1202</t>
  </si>
  <si>
    <t>PEKING HANDICRAFT INC</t>
  </si>
  <si>
    <t>651896639982</t>
  </si>
  <si>
    <t>Morgan Home Shannon 3pc King Comforter Set Grey King</t>
  </si>
  <si>
    <t>M639982</t>
  </si>
  <si>
    <t>191790044784</t>
  </si>
  <si>
    <t>Austin Home Collection T950 EMRSN GRY KG Grey King</t>
  </si>
  <si>
    <t>26002104082AQT</t>
  </si>
  <si>
    <t>194220501772</t>
  </si>
  <si>
    <t>Home Basics Home Basics Paris Bath Accesso Gray No Size</t>
  </si>
  <si>
    <t>MCY50177</t>
  </si>
  <si>
    <t>HOME BASICS/HDS TRADING CORP</t>
  </si>
  <si>
    <t>728455948899</t>
  </si>
  <si>
    <t>M107 PACIFIC FULL/QU</t>
  </si>
  <si>
    <t>M107FQCOVPL</t>
  </si>
  <si>
    <t>100% COTTON PERCALE</t>
  </si>
  <si>
    <t>728455948837</t>
  </si>
  <si>
    <t>M107 PACIFIC TWIN CO</t>
  </si>
  <si>
    <t>M107TCOVPL</t>
  </si>
  <si>
    <t>846339092169</t>
  </si>
  <si>
    <t>J Queen New York Sicily Gold Drapery Pair Gold 84 inches</t>
  </si>
  <si>
    <t>236603084PR</t>
  </si>
  <si>
    <t>850009689238</t>
  </si>
  <si>
    <t>BLISSY BLISSY 22-Momme Silk Pillowcas Plum Standard Pillowcases</t>
  </si>
  <si>
    <t>PID300</t>
  </si>
  <si>
    <t>BRIGHT PUR</t>
  </si>
  <si>
    <t>BLISSY LLC</t>
  </si>
  <si>
    <t>86569390417</t>
  </si>
  <si>
    <t>Premier Comfort Premier Comfort Microlight Ele White Twin</t>
  </si>
  <si>
    <t>MCC54-2149</t>
  </si>
  <si>
    <t>732998795667</t>
  </si>
  <si>
    <t>Martha Stewart Collection Percale Gray Plaid Reversible Grey King</t>
  </si>
  <si>
    <t>100079424KG</t>
  </si>
  <si>
    <t>706258090793</t>
  </si>
  <si>
    <t>Charter Club Damask Stripe Supima Cotton 55 Vapor Light Blue King</t>
  </si>
  <si>
    <t>DLLSTKGSVAP</t>
  </si>
  <si>
    <t>780870707468</t>
  </si>
  <si>
    <t>TERZO - THROW 51X71</t>
  </si>
  <si>
    <t>9710SGN</t>
  </si>
  <si>
    <t>732998305200</t>
  </si>
  <si>
    <t>Charter Club Damask Designs Meadow 300-Thre Marina FullQueen</t>
  </si>
  <si>
    <t>100079920FQ</t>
  </si>
  <si>
    <t>FABRIC: COTTON; POLYESTER FILL; THREAD COUNT: 300</t>
  </si>
  <si>
    <t>706257404997</t>
  </si>
  <si>
    <t>Hotel Collection Cotton 680 Thread Count Queen Lagoon Queen</t>
  </si>
  <si>
    <t>68L19QNFL</t>
  </si>
  <si>
    <t>750105140384</t>
  </si>
  <si>
    <t>AAFA PRIMALOFT MED QN</t>
  </si>
  <si>
    <t>BLOP0510WQ</t>
  </si>
  <si>
    <t>COVER: COTTON; FILLER: POLYESTER FIBER</t>
  </si>
  <si>
    <t>96675171824</t>
  </si>
  <si>
    <t>SensorPEDIC MicroShield Antimicrobial Matt White Full</t>
  </si>
  <si>
    <t>814945027301</t>
  </si>
  <si>
    <t>De Moocci Animal Printed Double Sided Fa Multi FullQueen</t>
  </si>
  <si>
    <t>1803BNKT-25M-CML-FQ</t>
  </si>
  <si>
    <t>DE MOOCCI/ORIENT HOME COLLECTION</t>
  </si>
  <si>
    <t>610406821330</t>
  </si>
  <si>
    <t>Homey Cozy Homey Cozy Paisley Applique Sq Blush 20x20</t>
  </si>
  <si>
    <t>51138-BLUSH</t>
  </si>
  <si>
    <t>22415034289</t>
  </si>
  <si>
    <t>Sealy Cooling Comfort Zippered Pillo White Standard</t>
  </si>
  <si>
    <t>840037202912</t>
  </si>
  <si>
    <t>3PCS3934RD-060</t>
  </si>
  <si>
    <t>608381351607</t>
  </si>
  <si>
    <t>SOLID CK SS ORCH 500 BASIC</t>
  </si>
  <si>
    <t>IVY7STPC</t>
  </si>
  <si>
    <t>500TC 100% PIMA COTTON</t>
  </si>
  <si>
    <t>25695992898</t>
  </si>
  <si>
    <t>Calvin Klein Monogram Logo Medium Support C White</t>
  </si>
  <si>
    <t>99289-5679</t>
  </si>
  <si>
    <t>810051075069</t>
  </si>
  <si>
    <t>MY FLAIR COMFORTER MEDIUBASIC</t>
  </si>
  <si>
    <t>BMI21583L6</t>
  </si>
  <si>
    <t>OAB/ALLIED HOME LLC</t>
  </si>
  <si>
    <t>800014152104</t>
  </si>
  <si>
    <t>White Birch Myra 3-Pc. Full Comforter Set Purple Full</t>
  </si>
  <si>
    <t>21051802CMS</t>
  </si>
  <si>
    <t>RFTOPFITTE</t>
  </si>
  <si>
    <t>ELLISON FIRST ASIA LLC</t>
  </si>
  <si>
    <t>789622559638</t>
  </si>
  <si>
    <t>UNIKOME UNIKOME Lightweight Down Alter White FullQueen</t>
  </si>
  <si>
    <t>AC20702UN-F Q</t>
  </si>
  <si>
    <t>TEXTILE NEST INC</t>
  </si>
  <si>
    <t>679610773279</t>
  </si>
  <si>
    <t>Riverbrook Home Hillcrest 9 Pc Queen Comforter Ivorygold Queen</t>
  </si>
  <si>
    <t>FIBER: 100% POLYESTER EXCLUSIVE OF DECORATION, FILLING: 100% POLYESTER</t>
  </si>
  <si>
    <t>732998123224</t>
  </si>
  <si>
    <t>Hotel Collection Hotel Collection Layered Frame Jade FullQueen</t>
  </si>
  <si>
    <t>100085270FQ</t>
  </si>
  <si>
    <t>100% PIMA COTTON SHELL FILL: 100% POLYESTER</t>
  </si>
  <si>
    <t>679610822014</t>
  </si>
  <si>
    <t>Hallmart Collectibles Omana 14 PC Queen Comforter Se Wine Queen</t>
  </si>
  <si>
    <t>FIBER: 100% POLYESTER EXCLUSIVE OF DECORATION; FILLING: 100% POLYESTER; SHEETS: 100% COTTON</t>
  </si>
  <si>
    <t>193675000816</t>
  </si>
  <si>
    <t>Better Trends Julian Queen Bedspread Yellow</t>
  </si>
  <si>
    <t>SS-BSASPQUYE</t>
  </si>
  <si>
    <t>810030872054</t>
  </si>
  <si>
    <t>Country Living Country Living Little Stars Qu Red King</t>
  </si>
  <si>
    <t>CL627RD04</t>
  </si>
  <si>
    <t>NEW SEGA HOME TEXTILES</t>
  </si>
  <si>
    <t>733001947837</t>
  </si>
  <si>
    <t>Martha Stewart Collection Floral Matelasse 100 Cotton K Lightpastel Grey King</t>
  </si>
  <si>
    <t>706254838900</t>
  </si>
  <si>
    <t>Martha Stewart Collection Seersucker 3-Pc. FullQueen Co Grey FullQueen</t>
  </si>
  <si>
    <t>636202611975</t>
  </si>
  <si>
    <t>Hotel Collection Hotel Collection 525 Thread Co White Queen</t>
  </si>
  <si>
    <t>5W17QSS790</t>
  </si>
  <si>
    <t>732996347486</t>
  </si>
  <si>
    <t>Martha Stewart Collection Drip Drop 180-Thread Count 3-P White FullQueen</t>
  </si>
  <si>
    <t>100069334QN</t>
  </si>
  <si>
    <t>COMFORTER AND SHAMS: COTTON; FILL: POLYESTER</t>
  </si>
  <si>
    <t>732995531312</t>
  </si>
  <si>
    <t>Martha Stewart Collection Signature Scallop 4-Pc. Queen Coral Queen</t>
  </si>
  <si>
    <t>100048767QN</t>
  </si>
  <si>
    <t>LT/PAS ORG</t>
  </si>
  <si>
    <t>732998112310</t>
  </si>
  <si>
    <t>Hotel Collection Hotel Collection Classic 800 T White Queen</t>
  </si>
  <si>
    <t>100067131QN</t>
  </si>
  <si>
    <t>875108008728</t>
  </si>
  <si>
    <t>Pointehaven Pointehaven Heavy Weight Cotto Brown Snwf King</t>
  </si>
  <si>
    <t>FP-KGSFBROWN</t>
  </si>
  <si>
    <t>SAFAH INTERNATIONAL INC</t>
  </si>
  <si>
    <t>706258547877</t>
  </si>
  <si>
    <t>Martha Stewart Collection Cotton Percale 400-Thread Coun Snowy Owl Queen</t>
  </si>
  <si>
    <t>T4QNSSNOWY</t>
  </si>
  <si>
    <t>843669104975</t>
  </si>
  <si>
    <t>Home Weavers Waterford 2 Piece Bath Rug Set Natural</t>
  </si>
  <si>
    <t>BWA2PC1721NA</t>
  </si>
  <si>
    <t>190714377502</t>
  </si>
  <si>
    <t>Lacourte Chunky Heathered 50 x 60 Dec Natural 50x60</t>
  </si>
  <si>
    <t>1114392NAT50X60</t>
  </si>
  <si>
    <t>675716749347</t>
  </si>
  <si>
    <t>Madison Park Madison Park Aubrey Paisley 50 Burgundy 50x84</t>
  </si>
  <si>
    <t>MP40-2712</t>
  </si>
  <si>
    <t>734737485679</t>
  </si>
  <si>
    <t>Fairfield Square Collection Austin 8-Pc. Reversible Comfor Blue California King</t>
  </si>
  <si>
    <t>1575C429V</t>
  </si>
  <si>
    <t>29927558524</t>
  </si>
  <si>
    <t>Sun Zero Sun Zero Verve 52 x 63 Mosai Sable 52x63</t>
  </si>
  <si>
    <t>191790037496</t>
  </si>
  <si>
    <t>AQ Textiles Ultra Cool 700-Thread Count 4- Grey Queen</t>
  </si>
  <si>
    <t>25002103082AQT</t>
  </si>
  <si>
    <t>732997143148</t>
  </si>
  <si>
    <t>Hotel Collection CLOSEOUT Hotel Collection Dec Gold Queen</t>
  </si>
  <si>
    <t>100073398QN</t>
  </si>
  <si>
    <t>FRONT: COTTON/POLYESTER; BACK: COTTON; EMBROIDERY: POLYESTER/METALLIC</t>
  </si>
  <si>
    <t>732996468723</t>
  </si>
  <si>
    <t>Hotel Collection Classic White Matelasse Stand White Standard Sham</t>
  </si>
  <si>
    <t>100072156SD</t>
  </si>
  <si>
    <t>783048132154</t>
  </si>
  <si>
    <t>Truly Soft Truly Soft Zero Twist 6 Pieces Gray 1 Towel Set</t>
  </si>
  <si>
    <t>BTS3715GY6-6100</t>
  </si>
  <si>
    <t>TRACY PORTER/PEM AMERICA INC</t>
  </si>
  <si>
    <t>810001368449</t>
  </si>
  <si>
    <t>Southshore Fine Linens Southshore Fine Linens Classy Gray King</t>
  </si>
  <si>
    <t>VIL-PLT-K</t>
  </si>
  <si>
    <t>732998714538</t>
  </si>
  <si>
    <t>Hotel Collection LAST ACT Hotel Collection Cla Silver King Sham</t>
  </si>
  <si>
    <t>100078568QK</t>
  </si>
  <si>
    <t>810026171888</t>
  </si>
  <si>
    <t>Cheer Collection Animal Print Reversible Throw Brown ONE SIZE</t>
  </si>
  <si>
    <t>CC-FFBLNK002-60X70</t>
  </si>
  <si>
    <t>86569363497</t>
  </si>
  <si>
    <t>Martha Stewart Collection Essentials Solid Comforter Ful BlueNavy FullQueen</t>
  </si>
  <si>
    <t>788904002190</t>
  </si>
  <si>
    <t>Blue Ridge Blue Ridge Reversible Down Alt Olivesage FullQueen</t>
  </si>
  <si>
    <t>733001229971</t>
  </si>
  <si>
    <t>Martha Stewart Collection LAST ACT Feather Velvet Quilt Blue King Sham</t>
  </si>
  <si>
    <t>100104025KS</t>
  </si>
  <si>
    <t>735732187568</t>
  </si>
  <si>
    <t>VCNY Home Amadora Quatrefoil 24 x 60 M Taupe ONE SIZE</t>
  </si>
  <si>
    <t>AM4-RUN-2460-GP-TAUP</t>
  </si>
  <si>
    <t>86569363428</t>
  </si>
  <si>
    <t>733001229995</t>
  </si>
  <si>
    <t>Martha Stewart Collection LAST ACT Feather Velvet Quilt Rust Standard Sham</t>
  </si>
  <si>
    <t>100104025ST</t>
  </si>
  <si>
    <t>10482318647</t>
  </si>
  <si>
    <t>Todays Home Cotton Rich Tailored Queen Bed Grey Queen</t>
  </si>
  <si>
    <t>TOH24914GREY03</t>
  </si>
  <si>
    <t>706258616399</t>
  </si>
  <si>
    <t>Martha Stewart Collection Essentials Twin Waterproof Mat White Twin</t>
  </si>
  <si>
    <t>100058084TW</t>
  </si>
  <si>
    <t>854130004625</t>
  </si>
  <si>
    <t>Morning Glamour Single Signature Box -Pretty F Gold</t>
  </si>
  <si>
    <t>SINGLESIGNATURE</t>
  </si>
  <si>
    <t>86569348272</t>
  </si>
  <si>
    <t>JLA Home JLA Home Isobelle 72x 72 Sho Multi No Size</t>
  </si>
  <si>
    <t>MCH70-1689</t>
  </si>
  <si>
    <t>29927577839</t>
  </si>
  <si>
    <t>Sun Zero Sun Zero Preston 40 x 63 Gro Denim 40x63</t>
  </si>
  <si>
    <t>732998869399</t>
  </si>
  <si>
    <t>Martha Stewart Collection Country Flora Patchwork Standa Blue Standard Sham</t>
  </si>
  <si>
    <t>100079754ST</t>
  </si>
  <si>
    <t>29927477535</t>
  </si>
  <si>
    <t>Sun Zero Sun Zero Grant 54 x 63 Rod P Mineral 54x63</t>
  </si>
  <si>
    <t>726895579437</t>
  </si>
  <si>
    <t>Martha Stewart Collection Solid Open Stock 400-Thread Co Cloud White King</t>
  </si>
  <si>
    <t>735732247354</t>
  </si>
  <si>
    <t>Victoria Classics Fireside Sherpa Throw Ivory 50x60</t>
  </si>
  <si>
    <t>SP4-THR-5060-MC-IVOR</t>
  </si>
  <si>
    <t>841323173985</t>
  </si>
  <si>
    <t>URBN CHIC URBN CHIC Annika Gauze 3 Piece White Queen</t>
  </si>
  <si>
    <t>ANK3CSQUENGHWH</t>
  </si>
  <si>
    <t>GENEVA HOME FASHION LLC</t>
  </si>
  <si>
    <t>846339047411</t>
  </si>
  <si>
    <t>J Queen New York J Queen New York Astoria Queen Sand Queen</t>
  </si>
  <si>
    <t>1800121QCS</t>
  </si>
  <si>
    <t>83013063774</t>
  </si>
  <si>
    <t>Croscill Croscill Grace Queen Comforter Ivory Queen</t>
  </si>
  <si>
    <t>2A0-013O0-9863</t>
  </si>
  <si>
    <t>733001092827</t>
  </si>
  <si>
    <t>Hotel Collection Channels FullQueen Comforter, White FullQueen</t>
  </si>
  <si>
    <t>100107648FQ</t>
  </si>
  <si>
    <t>679610813920</t>
  </si>
  <si>
    <t>Hallmart Collectibles Sadie 14-Pc. Queen Comforter S Blush Queen</t>
  </si>
  <si>
    <t>COMFORTER/SHAMS/BEDSKIRT/PILLOWS: POLYESTER (EXCLUSIVE OF DECORATION); SHEETS: COTTON; THROW: ACRYLIC/POLYESTER; POLYESTER FILL</t>
  </si>
  <si>
    <t>750105141411</t>
  </si>
  <si>
    <t>Hotel Collection Primaloft Silver Series Hi Lof White Twin</t>
  </si>
  <si>
    <t>10011754T</t>
  </si>
  <si>
    <t>732999755714</t>
  </si>
  <si>
    <t>Martha Stewart Collection Reversible 3-Pc. Crushed Velve Grey FullQueen</t>
  </si>
  <si>
    <t>100104075FQ</t>
  </si>
  <si>
    <t>732999620111</t>
  </si>
  <si>
    <t>Martha Stewart Collection Allergy Wise Dobby Stripe Full White FullQueen</t>
  </si>
  <si>
    <t>100105527FQ</t>
  </si>
  <si>
    <t>MMG-MARTHA STEWART/KEECO LLC</t>
  </si>
  <si>
    <t>86569099785</t>
  </si>
  <si>
    <t>Hotel Collection Egyptian Cotton King Blanket White King</t>
  </si>
  <si>
    <t>10028634KG</t>
  </si>
  <si>
    <t>733002170838</t>
  </si>
  <si>
    <t>Charter Club Damask Designs 300-Thread Coun Yellow FullQueen</t>
  </si>
  <si>
    <t>100058459FQ</t>
  </si>
  <si>
    <t>635983499604</t>
  </si>
  <si>
    <t>Ella Jayne Overstuffed Plush MediumFirm White Queen</t>
  </si>
  <si>
    <t>BMI10191L2Q</t>
  </si>
  <si>
    <t>SHELL: 220 THREAD COUNT POLYESTER MICROFIBER, FILL: 100% DOWN ALTERNATIVE FINE GEL FIBERS</t>
  </si>
  <si>
    <t>734737563186</t>
  </si>
  <si>
    <t>Sunham Emory 420-Thread Count 4-Pc. Q Ivory Queen</t>
  </si>
  <si>
    <t>734737532724</t>
  </si>
  <si>
    <t>Fairfield Square Collection Paris Gold 8-Pc. Reversible Qu White Queen</t>
  </si>
  <si>
    <t>18393224NCPV</t>
  </si>
  <si>
    <t>732996412313</t>
  </si>
  <si>
    <t>Martha Stewart Collection Whim By Martha Stewart Collect Cheetah Queen</t>
  </si>
  <si>
    <t>100057468QN</t>
  </si>
  <si>
    <t>732997393949</t>
  </si>
  <si>
    <t>Hotel Collection Primaloft 450-Thread Count Fir White Standard</t>
  </si>
  <si>
    <t>100083174QN</t>
  </si>
  <si>
    <t>735732189876</t>
  </si>
  <si>
    <t>VCNY Home VCNY Home Casa Real Reversibl Multi FullQueen</t>
  </si>
  <si>
    <t>C10-5DV-FUQU-IN-MULT</t>
  </si>
  <si>
    <t>610406821248</t>
  </si>
  <si>
    <t>Homey Cozy Homey Cozy Vivian Applique Vel Blue 20x20</t>
  </si>
  <si>
    <t>61266-BLUE</t>
  </si>
  <si>
    <t>655385043687</t>
  </si>
  <si>
    <t>Elite Home Elite Home Down Alternative So Insignia Blue Twin</t>
  </si>
  <si>
    <t>999BLTW563DOWN</t>
  </si>
  <si>
    <t>733001925866</t>
  </si>
  <si>
    <t>Charter Club Continuous Cool Medium Firm Ki White King</t>
  </si>
  <si>
    <t>100121787KG</t>
  </si>
  <si>
    <t>783048064677</t>
  </si>
  <si>
    <t>Pem America Paris 3-Pc. King Comforter Min Blush King</t>
  </si>
  <si>
    <t>CS2739KG-1540</t>
  </si>
  <si>
    <t>885308518040</t>
  </si>
  <si>
    <t>Pairs To Go Cadenza Microfiber Panel Pair Aegean 40x54</t>
  </si>
  <si>
    <t>15110080X054AEG</t>
  </si>
  <si>
    <t>54 DBL</t>
  </si>
  <si>
    <t>679610822786</t>
  </si>
  <si>
    <t>Hallmart Collectibles Amnon 14-Pc. Queen Comforter S Gray Queen</t>
  </si>
  <si>
    <t>191790025271</t>
  </si>
  <si>
    <t>DRAFT - NEUT T1200 PARKR KG Neutrals King</t>
  </si>
  <si>
    <t>23412104099AQT</t>
  </si>
  <si>
    <t>883893504059</t>
  </si>
  <si>
    <t>Tommy Bahama Home Raffia Palms Reversible 4-Pc. Pewter Gray Queen</t>
  </si>
  <si>
    <t>TOMMY BAHAMA/REVMAN INTERNATIONAL</t>
  </si>
  <si>
    <t>671131830783</t>
  </si>
  <si>
    <t>Design Art Designart White Stained Glass White</t>
  </si>
  <si>
    <t>BED10276-K</t>
  </si>
  <si>
    <t>DESIGNART</t>
  </si>
  <si>
    <t>732999761982</t>
  </si>
  <si>
    <t>100107433FQ</t>
  </si>
  <si>
    <t>811098030950</t>
  </si>
  <si>
    <t>Puredown Puredown Premium Top Featherbe White Twin</t>
  </si>
  <si>
    <t>PD 18001 T</t>
  </si>
  <si>
    <t>SHELL - 100 % COTTON, STUFFING - TOP LAYER -GOOSE DOWN, BOTTOM LAYER - 100 % GOOSE FEATHER</t>
  </si>
  <si>
    <t>800298615456</t>
  </si>
  <si>
    <t>DKNY DKNY Modern Velvet 50 x 96 C Charcoal 50x96</t>
  </si>
  <si>
    <t>WED111173L09</t>
  </si>
  <si>
    <t>783048113085</t>
  </si>
  <si>
    <t>Charisma 400TC Percale Cotton King Shee Grey King</t>
  </si>
  <si>
    <t>SS3307MGKG-4700</t>
  </si>
  <si>
    <t>883893484337</t>
  </si>
  <si>
    <t>Stone Cottage Caldecott FullQueen Duvet Cov Light Blue FullQueen</t>
  </si>
  <si>
    <t>706256025407</t>
  </si>
  <si>
    <t>IP TOB BASIC</t>
  </si>
  <si>
    <t>IPD25KBS79</t>
  </si>
  <si>
    <t>883893603486</t>
  </si>
  <si>
    <t>Laura Ashley Mila Blue Duvet Cover Set, Twi White Twin</t>
  </si>
  <si>
    <t>USHSFN1097896</t>
  </si>
  <si>
    <t>5060518083594</t>
  </si>
  <si>
    <t>SILK PILLOWCASE EURO</t>
  </si>
  <si>
    <t>PCUSEP65</t>
  </si>
  <si>
    <t>GINGERLILY LONDON LLC</t>
  </si>
  <si>
    <t>SILK</t>
  </si>
  <si>
    <t>732997069806</t>
  </si>
  <si>
    <t>Charter Club Damask Collection Windowpane C Pure Ivory Queen</t>
  </si>
  <si>
    <t>100070335QN</t>
  </si>
  <si>
    <t>842941102043</t>
  </si>
  <si>
    <t>Tribeca Living Tribeca Living Heavyweight Fla Cloud Blue Queen</t>
  </si>
  <si>
    <t>FLA200SHEETQUCB</t>
  </si>
  <si>
    <t>TRIBECA LIVING/MARWAH CORPORATION</t>
  </si>
  <si>
    <t>734737517608</t>
  </si>
  <si>
    <t>Lacoste Home Solid Percale King Sheet Set Light Grey King</t>
  </si>
  <si>
    <t>42075520830</t>
  </si>
  <si>
    <t>AIR WAFFLE BASIC</t>
  </si>
  <si>
    <t>3-80000BBG</t>
  </si>
  <si>
    <t>UCHINO/CHF INDUSTRIES INC</t>
  </si>
  <si>
    <t>MADE IN JAPAN</t>
  </si>
  <si>
    <t>850008881077</t>
  </si>
  <si>
    <t>TRISILK PC S/Q BASIC</t>
  </si>
  <si>
    <t>F-STD-CASE-32</t>
  </si>
  <si>
    <t>DISCOVER NIGHT LLC</t>
  </si>
  <si>
    <t>100% MULBERRY SILK</t>
  </si>
  <si>
    <t>86569497376</t>
  </si>
  <si>
    <t>Urban Dreams Brooke 6-Pc. Reversible Twin C Pinkwhite Twin</t>
  </si>
  <si>
    <t>MCH10-2373</t>
  </si>
  <si>
    <t>191790025370</t>
  </si>
  <si>
    <t>AQ Textiles Parker 1200-Thread Count 4-Pc. Blue King</t>
  </si>
  <si>
    <t>23422104002AQT</t>
  </si>
  <si>
    <t>875108009022</t>
  </si>
  <si>
    <t>Celeste Home Celeste Home Ultra Soft Flanne White Queen</t>
  </si>
  <si>
    <t>FCH-QNWHITE</t>
  </si>
  <si>
    <t>735732093371</t>
  </si>
  <si>
    <t>VCNY Home VCNY Home Dublin Cable Knit Th Red Throw</t>
  </si>
  <si>
    <t>DUI-THR-5070-BB-RED</t>
  </si>
  <si>
    <t>29927519549</t>
  </si>
  <si>
    <t>Sun Zero Darren Distressed Textured Glo Indigo 50x95</t>
  </si>
  <si>
    <t>657812138096</t>
  </si>
  <si>
    <t>Biddeford Comfort Knit Fleece Electric T Fawn Twin</t>
  </si>
  <si>
    <t>1000-9052127-706</t>
  </si>
  <si>
    <t>646998691402</t>
  </si>
  <si>
    <t>Peri Home Peri Home Cut Geo 50x95 Back Light Purple ONE SIZE</t>
  </si>
  <si>
    <t>1-90380ALI</t>
  </si>
  <si>
    <t>26865856033</t>
  </si>
  <si>
    <t>Elrene Elrene Athena Rod Pocket 52 x Red 52x95</t>
  </si>
  <si>
    <t>732994556743</t>
  </si>
  <si>
    <t>Hudson Park Hudson Park Italian Percale St White</t>
  </si>
  <si>
    <t>732997906521</t>
  </si>
  <si>
    <t>Hotel Collection Hotel Collection Terra Quilted Grey Standard Sham</t>
  </si>
  <si>
    <t>100073997SD</t>
  </si>
  <si>
    <t>FRONT: COTTON/POLYESTER BLEND, FILL: 100% POLYESTER</t>
  </si>
  <si>
    <t>846339091223</t>
  </si>
  <si>
    <t>J Queen New York Beaumont Champagne 20 Square Champagne 20</t>
  </si>
  <si>
    <t>235600420SQ</t>
  </si>
  <si>
    <t>191790025547</t>
  </si>
  <si>
    <t>AQ Textiles Parker 1200-Thread Count 4-Pc. Red Full</t>
  </si>
  <si>
    <t>23402102034AQT</t>
  </si>
  <si>
    <t>883893562882</t>
  </si>
  <si>
    <t>Poppy Fritz Topper Duvet Cover Set, FullQ Navy FullQueen</t>
  </si>
  <si>
    <t>USHSFQ1061566</t>
  </si>
  <si>
    <t>732995182026</t>
  </si>
  <si>
    <t>500TC GEO K SH SAN BASIC</t>
  </si>
  <si>
    <t>100050267KG</t>
  </si>
  <si>
    <t>HUDSON PARK-EDI/RWI/PACFNG</t>
  </si>
  <si>
    <t>100% PIMA COTTON SATEEN</t>
  </si>
  <si>
    <t>675716839710</t>
  </si>
  <si>
    <t>Madison Park Emilia 50 x 95 Lined Faux-Si Purple 50x95</t>
  </si>
  <si>
    <t>MP40-3553</t>
  </si>
  <si>
    <t>675716846145</t>
  </si>
  <si>
    <t>Intelligent Design Olivia Floral-Print 50 x 84 Pink 50x84</t>
  </si>
  <si>
    <t>ID40-1011</t>
  </si>
  <si>
    <t>739550350418</t>
  </si>
  <si>
    <t>Elrene Colette 52 x 84 Faux Silk Bl Ivory 52x84</t>
  </si>
  <si>
    <t>96157IVR</t>
  </si>
  <si>
    <t>29927553833</t>
  </si>
  <si>
    <t>Sun Zero Oslo 52 x 84 Theater Grade E Pearl 52x84</t>
  </si>
  <si>
    <t>29927554007</t>
  </si>
  <si>
    <t>Sun Zero Oslo 52 x 95 Theater Grade E Navy 52x95</t>
  </si>
  <si>
    <t>732995192216</t>
  </si>
  <si>
    <t>Charter Club Damask Solid Cotton 550-Thread White Twin Extra Long Fitted</t>
  </si>
  <si>
    <t>100056016TX</t>
  </si>
  <si>
    <t>86569286871</t>
  </si>
  <si>
    <t>Intelligent Design Intelligent Design Sophie 50 Black 50x84</t>
  </si>
  <si>
    <t>ID40-1798</t>
  </si>
  <si>
    <t>783048140241</t>
  </si>
  <si>
    <t>Pem America Seashells 2-Pc. Reversible Twi Navy Blue Twin</t>
  </si>
  <si>
    <t>CS3913TW-1540</t>
  </si>
  <si>
    <t>783048140197</t>
  </si>
  <si>
    <t>Pem America Holiday Plaid 3-Pc. Reversible Multiplaid FullQueen</t>
  </si>
  <si>
    <t>CS3910FQ-1540</t>
  </si>
  <si>
    <t>783048125002</t>
  </si>
  <si>
    <t>Pem America Manilla Floral King 3PC Comfor Multi King</t>
  </si>
  <si>
    <t>CS3551KG-1540</t>
  </si>
  <si>
    <t>846339075377</t>
  </si>
  <si>
    <t>J Queen New York Zilara Standard Sham White Standard Sham</t>
  </si>
  <si>
    <t>2180020STQSH</t>
  </si>
  <si>
    <t>818912039571</t>
  </si>
  <si>
    <t>Home More Boo 17 x 29 CoirVinyl Doorm Blacknatural ONE SIZE</t>
  </si>
  <si>
    <t>CALLOWAY MILLS/HOME &amp; MORE LLC</t>
  </si>
  <si>
    <t>COIR/VINYL</t>
  </si>
  <si>
    <t>29927507379</t>
  </si>
  <si>
    <t>Sun Zero Regina 40 x 63 Watercolor Fl Linen 40x63</t>
  </si>
  <si>
    <t>91116707600</t>
  </si>
  <si>
    <t>Sanders Printed Microfiber King Sheet Hansen Blue King</t>
  </si>
  <si>
    <t>PM3SSK</t>
  </si>
  <si>
    <t>29927527940</t>
  </si>
  <si>
    <t>Sun Zero Cooper 40 x 63 Thermal Insul White 40x63</t>
  </si>
  <si>
    <t>22415211024</t>
  </si>
  <si>
    <t>Sealy Sealy Dream Lux Soft Pillow, S White</t>
  </si>
  <si>
    <t>91116695327</t>
  </si>
  <si>
    <t>Sanders Printed Microfiber Full Sheet Anabella Full</t>
  </si>
  <si>
    <t>PM3SSF</t>
  </si>
  <si>
    <t>29927509816</t>
  </si>
  <si>
    <t>No. 918 Bimini Textured Floral 51 x 8 Lavender 51x84</t>
  </si>
  <si>
    <t>706254517256</t>
  </si>
  <si>
    <t>Charter Club Damask Cotton 210-Thread Count Marina European Sham</t>
  </si>
  <si>
    <t>DSKQLTCEUMAR</t>
  </si>
  <si>
    <t>29927517088</t>
  </si>
  <si>
    <t>Sun Zero Sun Zero Grant 54 x 18 Valan Blush 54x18</t>
  </si>
  <si>
    <t>732999786503</t>
  </si>
  <si>
    <t>Charter Club Gusseted Medium King Pillow White King</t>
  </si>
  <si>
    <t>100106166KG</t>
  </si>
  <si>
    <t>81806451357</t>
  </si>
  <si>
    <t>S3 VOILE BLUE DISPLAY</t>
  </si>
  <si>
    <t>FZR02KDBJBLU</t>
  </si>
  <si>
    <t>86569327017</t>
  </si>
  <si>
    <t>Urban Habitat Urban Habitat Brooklyn Jacquar Blue 70 x 72</t>
  </si>
  <si>
    <t>UH70-2312</t>
  </si>
  <si>
    <t>CLIENT COST</t>
  </si>
  <si>
    <t>DIVISION</t>
  </si>
  <si>
    <t>800298684735</t>
  </si>
  <si>
    <t>DKNY DKNY Pure Comfy FullQueen Com White Queen</t>
  </si>
  <si>
    <t>PGD001009QCM</t>
  </si>
  <si>
    <t>MCY</t>
  </si>
  <si>
    <t>732998345930</t>
  </si>
  <si>
    <t>Hotel Collection Hotel Collection Primativa Ful Silver FullQueen</t>
  </si>
  <si>
    <t>100089890FQ</t>
  </si>
  <si>
    <t>679610813937</t>
  </si>
  <si>
    <t>Hallmart Collectibles Sadie 14-Pc. King Comforter Se Blush King</t>
  </si>
  <si>
    <t>734737636996</t>
  </si>
  <si>
    <t>Sunham Hendel Indigo Queen Comforter Indigo Queen</t>
  </si>
  <si>
    <t>675716905002</t>
  </si>
  <si>
    <t>Urban Habitat Brooklyn 7-Pc. KingCalifornia Ivory KingCalifornia King</t>
  </si>
  <si>
    <t>UH12-0203</t>
  </si>
  <si>
    <t>DUVET/SHAM: COTTON; THREAD COUNT: 140, REVERSES TO 144; PILLOW/EUROPEAN SHAM: COTTON; THREAD COUNT: 144; PILLOW FILL: POLYESTER</t>
  </si>
  <si>
    <t>675716659363</t>
  </si>
  <si>
    <t>INKIVY Alpine Cotton Reversible King Navy King</t>
  </si>
  <si>
    <t>II12-555</t>
  </si>
  <si>
    <t>883893293984</t>
  </si>
  <si>
    <t>Laura Ashley Laura Ashley FullQueen Bedfor Mocha FullQueen</t>
  </si>
  <si>
    <t>HONEY</t>
  </si>
  <si>
    <t>732996347479</t>
  </si>
  <si>
    <t>Martha Stewart Collection Drip Drop 180-Thread Count 3-P White King</t>
  </si>
  <si>
    <t>100069334KG</t>
  </si>
  <si>
    <t>732995511147</t>
  </si>
  <si>
    <t>Martha Stewart Collection Lush Embroidery Quilted Queen Blue Queen</t>
  </si>
  <si>
    <t>LUSHEMIVQN</t>
  </si>
  <si>
    <t>190733052381</t>
  </si>
  <si>
    <t>Linum Home Terry Bathrobe Embroidered wit WhiteAqua SM</t>
  </si>
  <si>
    <t>TR00-SM-ILU-AQUA</t>
  </si>
  <si>
    <t>706258089155</t>
  </si>
  <si>
    <t>Charter Club Damask Stripe Supima Cotton 55 Granite Dark Grey Queen</t>
  </si>
  <si>
    <t>DLDSTQNSGRA</t>
  </si>
  <si>
    <t>732997493199</t>
  </si>
  <si>
    <t>Charter Club Damask Thin Stripe Cotton 550- Granite Dark Grey FullQueen</t>
  </si>
  <si>
    <t>100068874FQ</t>
  </si>
  <si>
    <t>706257404409</t>
  </si>
  <si>
    <t>Hotel Collection Cotton 680 Thread Count Extra- White King</t>
  </si>
  <si>
    <t>68H28KXFL</t>
  </si>
  <si>
    <t>784851506088</t>
  </si>
  <si>
    <t>Elegant Comfort Elegant Comfort Luxury 3-Piece Medium Red KingCalifornia King</t>
  </si>
  <si>
    <t>MAJESTICQUILTSKINGBU</t>
  </si>
  <si>
    <t>ELEGANT COMFORT/BESPOLITAN INC</t>
  </si>
  <si>
    <t>732994719407</t>
  </si>
  <si>
    <t>Hotel Collection Cotton SmallMedium Spa Robe White SM</t>
  </si>
  <si>
    <t>732997493236</t>
  </si>
  <si>
    <t>Charter Club Damask Thin Stripe Cotton 550- Granite Dark Grey Twin</t>
  </si>
  <si>
    <t>100068874TW</t>
  </si>
  <si>
    <t>783048103505</t>
  </si>
  <si>
    <t>Brooklyn Loom Solid Cotton Percale King Shee Grey King</t>
  </si>
  <si>
    <t>SS3158GYKG-4700</t>
  </si>
  <si>
    <t>733001281733</t>
  </si>
  <si>
    <t>Martha Stewart Collection Printed Cotton Flannel 4-Pc. Q Ski Mountain Queen</t>
  </si>
  <si>
    <t>100094879QN</t>
  </si>
  <si>
    <t>842933165193</t>
  </si>
  <si>
    <t>ienjoy Home Lucid Dreams Patterned Duvet C Blue Starlight KingCalifornia King</t>
  </si>
  <si>
    <t>DUVSTLKIENJ</t>
  </si>
  <si>
    <t>MICROFIBER/POLYESTER</t>
  </si>
  <si>
    <t>38992918119</t>
  </si>
  <si>
    <t>Waterford CRYSTAL QUILT PEARL STANDARD S Ivory Standard Sham</t>
  </si>
  <si>
    <t>SHCRSTW10220X26</t>
  </si>
  <si>
    <t>FACE: 85% TENCEL, 15% SILK, REVERSE: 100% COTTON</t>
  </si>
  <si>
    <t>86569284822</t>
  </si>
  <si>
    <t>Madison Park Madison Park Cameron 50 x 95 Grey 50x95</t>
  </si>
  <si>
    <t>MP40-6613</t>
  </si>
  <si>
    <t>191790041004</t>
  </si>
  <si>
    <t>AQ Textiles Camden 1250 thread count 4 pc Silver Queen</t>
  </si>
  <si>
    <t>25542103063AQT</t>
  </si>
  <si>
    <t>800298662641</t>
  </si>
  <si>
    <t>DKNY DKNY PURE Texture StandardQue Grey Queen</t>
  </si>
  <si>
    <t>PTX100052SAA</t>
  </si>
  <si>
    <t>735732397059</t>
  </si>
  <si>
    <t>VCNY Home Lawrence Pinsonic Rev 3 Piece Blue FullQueen</t>
  </si>
  <si>
    <t>LWR-3QT-FUQU-IN-BLUE</t>
  </si>
  <si>
    <t>706257399873</t>
  </si>
  <si>
    <t>Hotel Collection Cotton 680 Thread Count Twin F White Twin</t>
  </si>
  <si>
    <t>68H15TWFT</t>
  </si>
  <si>
    <t>RTBOTTOMFT</t>
  </si>
  <si>
    <t>735732053313</t>
  </si>
  <si>
    <t>VCNY Home Nina 2-Pc. Embossed Twin Quilt Ivory Twin</t>
  </si>
  <si>
    <t>NIA-QLT-TWIN-IN-IVOR</t>
  </si>
  <si>
    <t>42694347733</t>
  </si>
  <si>
    <t>CSOLD2X4LN</t>
  </si>
  <si>
    <t>26865854237</t>
  </si>
  <si>
    <t>Elrene Elrene All Seasons Faux Silk 5 Silver 52x36</t>
  </si>
  <si>
    <t>26865970258</t>
  </si>
  <si>
    <t>Elrene Valentina 52 x 95 Sheer Jacq Ivory 52x95</t>
  </si>
  <si>
    <t>22987IVR</t>
  </si>
  <si>
    <t>83013011652</t>
  </si>
  <si>
    <t>Croscill Nerissa 18 Square Decorative Neutral</t>
  </si>
  <si>
    <t>2AM-590C0-9931</t>
  </si>
  <si>
    <t>675716586126</t>
  </si>
  <si>
    <t>Martha Stewart Collection Martha Stewart Collection Soft Sesame King</t>
  </si>
  <si>
    <t>MSFLEECEKSE</t>
  </si>
  <si>
    <t>31374564102</t>
  </si>
  <si>
    <t>Martha Stewart Collection Essentials 7-Zone Twin Memory White Twin</t>
  </si>
  <si>
    <t>10012212TW</t>
  </si>
  <si>
    <t>POLYURETHANE FOAM</t>
  </si>
  <si>
    <t>706258616351</t>
  </si>
  <si>
    <t>Martha Stewart Collection Essentials Full Waterproof Mat White Full</t>
  </si>
  <si>
    <t>100058084FU</t>
  </si>
  <si>
    <t>726895578539</t>
  </si>
  <si>
    <t>Martha Stewart Collection Solid Open Stock 400-Thread Co Cloud White Full Flat</t>
  </si>
  <si>
    <t>10021051FL</t>
  </si>
  <si>
    <t>REGFULFLAT</t>
  </si>
  <si>
    <t>706255888874</t>
  </si>
  <si>
    <t>Hotel Collection Turkish 20 x 34 Bath Rug Steel 20 x 34</t>
  </si>
  <si>
    <t>HTRKSH2X3ST</t>
  </si>
  <si>
    <t>34X20</t>
  </si>
  <si>
    <t>784857883343</t>
  </si>
  <si>
    <t>Idea Nuova Coleman Cotton 2-Pc. Hotel Bor Aqua No Size</t>
  </si>
  <si>
    <t>K698231</t>
  </si>
  <si>
    <t>91116694498</t>
  </si>
  <si>
    <t>Jessica Sanders Solid Microfiber King Sheet Se Flint Grey King</t>
  </si>
  <si>
    <t>732996957937</t>
  </si>
  <si>
    <t>Charter Club Cozy Plush Wrap 50 x 70 Thro Grey Plaid Throw</t>
  </si>
  <si>
    <t>CHARTER CLUB-EDI/JLA HOME</t>
  </si>
  <si>
    <t>706255888812</t>
  </si>
  <si>
    <t>Hotel Collection Turkish 18 x 25 Bath Rug Steel 18 x 25</t>
  </si>
  <si>
    <t>HTRKSH1X2ST</t>
  </si>
  <si>
    <t>733001039679</t>
  </si>
  <si>
    <t>Martha Stewart Collection Midcentury Plaid Standard Sham Navy Combo Standard Sham</t>
  </si>
  <si>
    <t>100094895SD</t>
  </si>
  <si>
    <t>885308517982</t>
  </si>
  <si>
    <t>Pairs To Go Cadenza Microfiber Panel Pair Teal 40x54</t>
  </si>
  <si>
    <t>15110080X054TEL</t>
  </si>
  <si>
    <t>733001083344</t>
  </si>
  <si>
    <t>Hotel Collection Contour Velvet FullQueen Cove Champagne FullQueen</t>
  </si>
  <si>
    <t>100099774QN</t>
  </si>
  <si>
    <t>810018901998</t>
  </si>
  <si>
    <t>Fisher West New York Fisher West New York The Villa Ivory King</t>
  </si>
  <si>
    <t>FW002CTNLTBS-15</t>
  </si>
  <si>
    <t>NICHE SOURCING INC</t>
  </si>
  <si>
    <t>846339085147</t>
  </si>
  <si>
    <t>J Queen New York J. Queen New York Glacier Kin Ivory King</t>
  </si>
  <si>
    <t>2287002KCOV</t>
  </si>
  <si>
    <t>883893577459</t>
  </si>
  <si>
    <t>Marimekko Unikko FullQueen Duvet Cover Pastel Grey FullQueen</t>
  </si>
  <si>
    <t>USHSFN1078025</t>
  </si>
  <si>
    <t>MARIMEKKO/REVMAN INTERNATIONAL</t>
  </si>
  <si>
    <t>675716735067</t>
  </si>
  <si>
    <t>INKIVY Masie Embroidered Ruched King White King</t>
  </si>
  <si>
    <t>II10-597</t>
  </si>
  <si>
    <t>733001386926</t>
  </si>
  <si>
    <t>Charter Club Damask Velvet 3 pc King Coverl Grey King</t>
  </si>
  <si>
    <t>100108653KG</t>
  </si>
  <si>
    <t>800298615388</t>
  </si>
  <si>
    <t>DKNY DKNY Modern Velvet 50 x 84 C Champagne 50x84</t>
  </si>
  <si>
    <t>WED111293L0G</t>
  </si>
  <si>
    <t>675716579296</t>
  </si>
  <si>
    <t>Madison Park Laurel 7-Pc. Queen Comforter S Grey Queen</t>
  </si>
  <si>
    <t>MP10-1328</t>
  </si>
  <si>
    <t>733001891802</t>
  </si>
  <si>
    <t>Martha Stewart Collection Floral Embroidered Geo FullQu White FullQueen</t>
  </si>
  <si>
    <t>100115800FQ</t>
  </si>
  <si>
    <t>732998305385</t>
  </si>
  <si>
    <t>Charter Club Damask Designs Blossom 300-Thr Coral FullQueen</t>
  </si>
  <si>
    <t>100079943FQ</t>
  </si>
  <si>
    <t>86569383129</t>
  </si>
  <si>
    <t>Premier Comfort Sherpa Solid FullQueen Comfor Solid Grey FullQueen</t>
  </si>
  <si>
    <t>MCH10-2074</t>
  </si>
  <si>
    <t>86569271716</t>
  </si>
  <si>
    <t>Madison Park Mavis 3 Piece FullQueen Cotto Dark Blue FullQueen</t>
  </si>
  <si>
    <t>MP12-6587</t>
  </si>
  <si>
    <t>DUVET COVER/SHAM: COTTON FACE, COTTON/POLYESTER BACK</t>
  </si>
  <si>
    <t>679610829228</t>
  </si>
  <si>
    <t>Hallmart Collectibles Midtown 7-Pc. King Comforter S Blackwhitegray King</t>
  </si>
  <si>
    <t>788904113339</t>
  </si>
  <si>
    <t>Royal Luxe White Goose 240-Thread Count T White Twin</t>
  </si>
  <si>
    <t>679610813371</t>
  </si>
  <si>
    <t>Hallmart Collectibles Ada 12-Pc. Comforter Sets Fuchsia Queen</t>
  </si>
  <si>
    <t>46249612178</t>
  </si>
  <si>
    <t>Tommy Hilfiger Abstract Full Sheet Set White Full</t>
  </si>
  <si>
    <t>10T0296-FU-W1-D2</t>
  </si>
  <si>
    <t>734737558397</t>
  </si>
  <si>
    <t>Fairfield Square Collection Austin 8-Pc. Reversible Comfor Seafoam Queen</t>
  </si>
  <si>
    <t>31374564133</t>
  </si>
  <si>
    <t>Martha Stewart Collection Essentials 7-Zone Queen Memory White Queen</t>
  </si>
  <si>
    <t>10012212QN</t>
  </si>
  <si>
    <t>VISCO ELASTIC MEMORY FOAM.</t>
  </si>
  <si>
    <t>816651021895</t>
  </si>
  <si>
    <t>ienjoy Home Elegant Designs Patterned Duve Grey Vine FullQueen</t>
  </si>
  <si>
    <t>DUVVINEQIENJ</t>
  </si>
  <si>
    <t>732999603510</t>
  </si>
  <si>
    <t>Martha Stewart Collection Reversible Plaid King Comforte Grey Plaid King</t>
  </si>
  <si>
    <t>100109403KG</t>
  </si>
  <si>
    <t>816651028535</t>
  </si>
  <si>
    <t>ienjoy Home Tranquil Sleep Patterned Duvet Light Blue Blossoms TwinTwin XL</t>
  </si>
  <si>
    <t>DUVBLSTIENJ</t>
  </si>
  <si>
    <t>840037205890</t>
  </si>
  <si>
    <t>Indecor Home Indecor Home 17-Pc. Rochelle B Blue No Size</t>
  </si>
  <si>
    <t>17PCS4227BL-060</t>
  </si>
  <si>
    <t>734737581364</t>
  </si>
  <si>
    <t>Sunham Cheetah 3-Pc. King Comforter S Multi King</t>
  </si>
  <si>
    <t>734737581357</t>
  </si>
  <si>
    <t>Sunham Cheetah 3-Pc. FullQueen Comfo Multi FullQueen</t>
  </si>
  <si>
    <t>32281181567</t>
  </si>
  <si>
    <t>Disney 2-Pc. Travel Blanket Santa H Disney Frozen Standard</t>
  </si>
  <si>
    <t>JF18156</t>
  </si>
  <si>
    <t>190714421496</t>
  </si>
  <si>
    <t>Lacourte 14 x 24 Some Bunny Loves You Natural 14x24</t>
  </si>
  <si>
    <t>1130999NAT14X24</t>
  </si>
  <si>
    <t>16X24</t>
  </si>
  <si>
    <t>760028583465</t>
  </si>
  <si>
    <t>Beautyrest Fresh Sleep Memory Foam Cluste White Queen</t>
  </si>
  <si>
    <t>2615BRMBK-8J</t>
  </si>
  <si>
    <t>732998302100</t>
  </si>
  <si>
    <t>Hotel Collection Ultimate MicroCotton Mosaic 30 Oat Combo Bath Towels</t>
  </si>
  <si>
    <t>732998296942</t>
  </si>
  <si>
    <t>Charter Club Elite Hygro Cotton Bath Sheet Pink Lotus Bath Sheets</t>
  </si>
  <si>
    <t>706257490457</t>
  </si>
  <si>
    <t>Martha Stewart Collection Spa Bath Towel Pink Ice Bath Towels</t>
  </si>
  <si>
    <t>MSPLSHBPKI</t>
  </si>
  <si>
    <t>848405036688</t>
  </si>
  <si>
    <t>Mainstream International Inc. Velour Stripe Cotton 16 x 26 Mineral No Size</t>
  </si>
  <si>
    <t>MACPRO194108</t>
  </si>
  <si>
    <t>MAINSTREAM INTERNATIONAL INC</t>
  </si>
  <si>
    <t>732994993968</t>
  </si>
  <si>
    <t>Charter Club Plaid Cotton 13 x 13 Wash To Smoke Washcloths</t>
  </si>
  <si>
    <t>810030871880</t>
  </si>
  <si>
    <t>Country Living Country Living Eyelet Quilt 3 White FullQueen</t>
  </si>
  <si>
    <t>CL621WT13</t>
  </si>
  <si>
    <t>733002007622</t>
  </si>
  <si>
    <t>Hotel Collection Palmette FullQueen Coverlet, White FullQueen</t>
  </si>
  <si>
    <t>100113998QN</t>
  </si>
  <si>
    <t>840021402014</t>
  </si>
  <si>
    <t>Fisher West New York Cooling Planet Anti-Microbial Silver-Tone King</t>
  </si>
  <si>
    <t>410 SILVERKG</t>
  </si>
  <si>
    <t>81 SGL</t>
  </si>
  <si>
    <t>86569449436</t>
  </si>
  <si>
    <t>Units</t>
  </si>
  <si>
    <t>Value</t>
  </si>
  <si>
    <t>UPC</t>
  </si>
  <si>
    <t>ITEM DESCRIPTION</t>
  </si>
  <si>
    <t>ORIGINAL QTY</t>
  </si>
  <si>
    <t>TOTAL ORIGINAL RETAIL</t>
  </si>
  <si>
    <t>VENDOR / STYLE #</t>
  </si>
  <si>
    <t>COLOR</t>
  </si>
  <si>
    <t>SIZE</t>
  </si>
  <si>
    <t>DEPARTMENT NAME</t>
  </si>
  <si>
    <t>VENDOR NAME</t>
  </si>
  <si>
    <t>COUNTRY OF ORIGIN</t>
  </si>
  <si>
    <t>FABRIC CONTENT</t>
  </si>
  <si>
    <t>IMAGE</t>
  </si>
  <si>
    <t>WHITE</t>
  </si>
  <si>
    <t>KGCOMFORTE</t>
  </si>
  <si>
    <t>HOTEL LUX BDG</t>
  </si>
  <si>
    <t>HOTEL BY C CLUB-EDI/RWI/FA</t>
  </si>
  <si>
    <t>726895696363</t>
  </si>
  <si>
    <t>Hotel Collection Voile Queen Coverlet Grey FullQueen</t>
  </si>
  <si>
    <t>100024681QN</t>
  </si>
  <si>
    <t>MED GRAY</t>
  </si>
  <si>
    <t>IMPORTED</t>
  </si>
  <si>
    <t>726895696271</t>
  </si>
  <si>
    <t>Hotel Collection Linen FullQueen Duvet Cover Grey FullQueen</t>
  </si>
  <si>
    <t>100024678FQ</t>
  </si>
  <si>
    <t>IN LINEN, A LIGHTWEIGHT YEAR-ROUND FABRIC THAT GETS SOFTER WITH EVERY WASH</t>
  </si>
  <si>
    <t>NAVY</t>
  </si>
  <si>
    <t>MOD BEDDING</t>
  </si>
  <si>
    <t>SUNHAM CO USA</t>
  </si>
  <si>
    <t>100% POLYESTER</t>
  </si>
  <si>
    <t>LT/PAS YEL</t>
  </si>
  <si>
    <t>QNCOMFORTE</t>
  </si>
  <si>
    <t>CHIC HOME DESIGN LLC</t>
  </si>
  <si>
    <t>PB SEASON BED</t>
  </si>
  <si>
    <t>MARTHA STEWART-MMG/COLLECTION 43417</t>
  </si>
  <si>
    <t>LT/PAS PUR</t>
  </si>
  <si>
    <t>HOTEL COLLECTION-MMG/HIMATSINGKA</t>
  </si>
  <si>
    <t>BLACK</t>
  </si>
  <si>
    <t>HOTEL BY CHARTER CLUB-MMG</t>
  </si>
  <si>
    <t>GOLD</t>
  </si>
  <si>
    <t>83/84 DBL</t>
  </si>
  <si>
    <t>TRAD TXTL COL</t>
  </si>
  <si>
    <t>J QUEEN NEW YORK INC</t>
  </si>
  <si>
    <t>POLYESTER</t>
  </si>
  <si>
    <t>MED BEIGE</t>
  </si>
  <si>
    <t>SHEETS &amp;CASES</t>
  </si>
  <si>
    <t>WESTPOINT HOME INC</t>
  </si>
  <si>
    <t>COTTON</t>
  </si>
  <si>
    <t>PURPLE</t>
  </si>
  <si>
    <t>DEC PILL/THRW</t>
  </si>
  <si>
    <t>JESSICA SIMPSON/PEKING HANDICRAFT</t>
  </si>
  <si>
    <t>706258089742</t>
  </si>
  <si>
    <t>Charter Club Damask Supima Cotton 550-Threa White King</t>
  </si>
  <si>
    <t>DLLSLKGSWHT</t>
  </si>
  <si>
    <t>CC MOD BEDDNG</t>
  </si>
  <si>
    <t>CHARTER CLUB-EDI/RWI/VTX</t>
  </si>
  <si>
    <t>SUPIMA COTTON</t>
  </si>
  <si>
    <t>BEIGEKHAKI</t>
  </si>
  <si>
    <t>CHRT CLB DSGN</t>
  </si>
  <si>
    <t>CHARTER CLUB-EDI/RWI/LAMEIRINHO</t>
  </si>
  <si>
    <t>ALL COTTON</t>
  </si>
  <si>
    <t>GREEN</t>
  </si>
  <si>
    <t>AQ TEXTILES</t>
  </si>
  <si>
    <t>COTTON/POLYESTER</t>
  </si>
  <si>
    <t>RFMATTRESS</t>
  </si>
  <si>
    <t>PILLWS&amp;PADS</t>
  </si>
  <si>
    <t>BIDDEFORD BLANKETS LLC</t>
  </si>
  <si>
    <t>JLA HOME/E &amp; E CO LTD</t>
  </si>
  <si>
    <t>RTCOMFORTE</t>
  </si>
  <si>
    <t>MMG-CHARTER CLUB</t>
  </si>
  <si>
    <t>FABRIC: COTTON; COMFORTER FILL: POLYESTER</t>
  </si>
  <si>
    <t>PILLOWS &amp; PAD</t>
  </si>
  <si>
    <t>HOTEL BY CHARTER CLUB-EDI/DOWNLITE</t>
  </si>
  <si>
    <t>KGBOTTOMFT</t>
  </si>
  <si>
    <t>100% SUPIMA COTTON</t>
  </si>
  <si>
    <t>DARK BEIGE</t>
  </si>
  <si>
    <t>MORGAN HOME FASHIONS</t>
  </si>
  <si>
    <t>CHARCOAL</t>
  </si>
  <si>
    <t>TOWELS</t>
  </si>
  <si>
    <t>100% COTTON</t>
  </si>
  <si>
    <t>NEO COLLECTNS</t>
  </si>
  <si>
    <t>ELLEN DEGENERES/REVMAN INTERNATIONL</t>
  </si>
  <si>
    <t>LT/PAS GRY</t>
  </si>
  <si>
    <t>PREMIER COMFORT/E &amp; E CO LTD</t>
  </si>
  <si>
    <t>VALA78X7</t>
  </si>
  <si>
    <t>DEC PIL/THRWS</t>
  </si>
  <si>
    <t>783048124784</t>
  </si>
  <si>
    <t>Pem America Floral Bouquet King 8PC Comfor Purple King</t>
  </si>
  <si>
    <t>BIB3546KG-3240</t>
  </si>
  <si>
    <t>PEM AMERICA INC</t>
  </si>
  <si>
    <t>YOUNG CL HOME</t>
  </si>
  <si>
    <t>TOMMY HILFIGER/HIMATSINGKA AMERICA</t>
  </si>
  <si>
    <t>MALOUF/CVB INC</t>
  </si>
  <si>
    <t>BLUE</t>
  </si>
  <si>
    <t>LT BEIGE</t>
  </si>
  <si>
    <t>LUSH DECOR/TRIANGLE HOME FASHIONS</t>
  </si>
  <si>
    <t>636202045350</t>
  </si>
  <si>
    <t>Hotel Collection Hotel Collection Finest Elegan Mica Bath Towels</t>
  </si>
  <si>
    <t>HTLELITEBM</t>
  </si>
  <si>
    <t>BATH TOWEL</t>
  </si>
  <si>
    <t>PB TOWELS</t>
  </si>
  <si>
    <t>MMG-HOTEL BY CC</t>
  </si>
  <si>
    <t>COTTON/MODAL</t>
  </si>
  <si>
    <t>LAURA ASHLEY/REVMAN INTERNATIONAL</t>
  </si>
  <si>
    <t>GRAY</t>
  </si>
  <si>
    <t>DOWN COMFORTR</t>
  </si>
  <si>
    <t>BLUE RIDGE HOME FASHIONS</t>
  </si>
  <si>
    <t>POLYESTER MICROFIBER; POLYESTER FILL</t>
  </si>
  <si>
    <t>20X20</t>
  </si>
  <si>
    <t>HOME ACCENT PILLOW INC</t>
  </si>
  <si>
    <t>MADE IN USA OF IMPORTED MATERIALS</t>
  </si>
  <si>
    <t>INK &amp; IVY/JLA HOME/E &amp; E CO LTD</t>
  </si>
  <si>
    <t>DARK BLUE</t>
  </si>
  <si>
    <t>40X84/7</t>
  </si>
  <si>
    <t>S LICHTENBERG &amp; CO.</t>
  </si>
  <si>
    <t>BEIGE</t>
  </si>
  <si>
    <t>PB-BTH-RUG/AC</t>
  </si>
  <si>
    <t>CHARTER CLUB-MMG</t>
  </si>
  <si>
    <t>MADE IN USA</t>
  </si>
  <si>
    <t>NYLON; BACK: LATEX</t>
  </si>
  <si>
    <t>AMERICAN TEXTILE</t>
  </si>
  <si>
    <t>WASH CLOTH</t>
  </si>
  <si>
    <t>FINGER TIP</t>
  </si>
  <si>
    <t>AVANTI LINENS/AVANTI LINENS INC</t>
  </si>
  <si>
    <t>400013532725</t>
  </si>
  <si>
    <t>CRC GENERIC</t>
  </si>
  <si>
    <t>NO COLOR</t>
  </si>
  <si>
    <t>NO SIZE</t>
  </si>
  <si>
    <t>UPC DEFAULT</t>
  </si>
  <si>
    <t>NON-MRCHNDSE USE ONLY</t>
  </si>
  <si>
    <t>BRIGHT GRN</t>
  </si>
  <si>
    <t>108 DBL</t>
  </si>
  <si>
    <t>WATERFORD/W-C HOME FASHIONS LLC</t>
  </si>
  <si>
    <t>LT/PASBLUE</t>
  </si>
  <si>
    <t>HOTEL COLLECTION-EDI/RWI/PACFUNG</t>
  </si>
  <si>
    <t>PINK</t>
  </si>
  <si>
    <t>86569393920</t>
  </si>
  <si>
    <t>INKIVY INKIVY Mila 3 Piece Printed D Taupe FullQueen</t>
  </si>
  <si>
    <t>II12-1126</t>
  </si>
  <si>
    <t>LT/PAS BWN</t>
  </si>
  <si>
    <t>732999186310</t>
  </si>
  <si>
    <t>Charter Club Damask Designs Woven Tile 3-Pc Grey FullQueen</t>
  </si>
  <si>
    <t>100082939FQ</t>
  </si>
  <si>
    <t>CHARTER CLUB/SHANGHAI SUNWIN IN</t>
  </si>
  <si>
    <t>MRTH STWRT WH</t>
  </si>
  <si>
    <t>MMG-MARTHA STEW/E AND E (JLA HOME)</t>
  </si>
  <si>
    <t>732997493137</t>
  </si>
  <si>
    <t>Charter Club Damask Thin Stripe Cotton 550- White King</t>
  </si>
  <si>
    <t>100051414KG</t>
  </si>
  <si>
    <t>FABRIC: 100% COTTON THREAD COUNT: 550</t>
  </si>
  <si>
    <t>191790028906</t>
  </si>
  <si>
    <t>Fairfield Square Collection Hampton Cotton 650-Thread Coun Ivory King</t>
  </si>
  <si>
    <t>24002104003AQT</t>
  </si>
  <si>
    <t>NATURAL</t>
  </si>
  <si>
    <t>MADE IN CHINA</t>
  </si>
  <si>
    <t>COTTON / POLYESTER</t>
  </si>
  <si>
    <t>DARK RED</t>
  </si>
  <si>
    <t>CHARTER CLUB-EDI/DOWNLITE INT'L</t>
  </si>
  <si>
    <t>REMOVABLE COVER: 100% COTTON</t>
  </si>
  <si>
    <t>16X16</t>
  </si>
  <si>
    <t>CHARISMA/PEM AMERICA INC</t>
  </si>
  <si>
    <t>SOUTHSHORE FINE LIN/BARGAIN ONLINE</t>
  </si>
  <si>
    <t>HIGH QUALITY 110 GSM MICROFIBER</t>
  </si>
  <si>
    <t>LT/PASPINK</t>
  </si>
  <si>
    <t>SILVER</t>
  </si>
  <si>
    <t>THRO/JIMCO LAMP &amp; MANUFACTURING CO</t>
  </si>
  <si>
    <t>DUCK RIVER TEXTILE</t>
  </si>
  <si>
    <t>734737422964</t>
  </si>
  <si>
    <t>Fairfield Square Collection Austin 8-Pc. Reversible Comfor Red King</t>
  </si>
  <si>
    <t>15977329V</t>
  </si>
  <si>
    <t>RED</t>
  </si>
  <si>
    <t>FABRIC: POLYESTER; POLYESTER FILL</t>
  </si>
  <si>
    <t>MED BROWN</t>
  </si>
  <si>
    <t>ELRENE HOME FASHIONS</t>
  </si>
  <si>
    <t>86569373083</t>
  </si>
  <si>
    <t>Martha Stewart Collection Essential King Mattress Pad White King</t>
  </si>
  <si>
    <t>SLPSC1K05</t>
  </si>
  <si>
    <t>KGMATTRESS</t>
  </si>
  <si>
    <t>MARTHA STEWART-E&amp;E CO/JLA HOME</t>
  </si>
  <si>
    <t>735837086339</t>
  </si>
  <si>
    <t>Hotel Collection Down-Alternative Firm-Density White Standard</t>
  </si>
  <si>
    <t>HDAFJ906</t>
  </si>
  <si>
    <t>HOTEL BY C CLUB-EDI/PHOENIX DOWN</t>
  </si>
  <si>
    <t>SHELL: 100% COTTON WOVEN JACQUARD; FILL: DOWN-ALTERNATIVE FIBER</t>
  </si>
  <si>
    <t>CALVIN KLEIN HOME/HIMATSINGKA AMER</t>
  </si>
  <si>
    <t>STANDARD</t>
  </si>
  <si>
    <t>CHF INDUSTRIES INC</t>
  </si>
  <si>
    <t>29927509854</t>
  </si>
  <si>
    <t>No. 918 No. 918 Sheer Voile 100 x 84 Eggshell 100x84</t>
  </si>
  <si>
    <t>ALL POLYESTER</t>
  </si>
  <si>
    <t>BATH RUGS/ACC</t>
  </si>
  <si>
    <t>RT DESIGNERSCOLLECT/RAMALLAH TRADIN</t>
  </si>
  <si>
    <t>LT/PAS GRN</t>
  </si>
  <si>
    <t>PB BLANKETS</t>
  </si>
  <si>
    <t>HAPPYCARE TEXTILES INC</t>
  </si>
  <si>
    <t>100% ACRYLIC</t>
  </si>
  <si>
    <t>YELLOW</t>
  </si>
  <si>
    <t>SINGLE</t>
  </si>
  <si>
    <t>PERI HOME/CHF INDUSTRIES</t>
  </si>
  <si>
    <t>QUEEN</t>
  </si>
  <si>
    <t>SOFT-TEX MFG CO/SOFT-TEX INT'L INC</t>
  </si>
  <si>
    <t>TEXTILES-EUROPE INC</t>
  </si>
  <si>
    <t>POLYESTER MICROFIBER</t>
  </si>
  <si>
    <t>PB COMFORTERS</t>
  </si>
  <si>
    <t>MMG-ESSENTIALS BY MARTHA/JLA HOME</t>
  </si>
  <si>
    <t>10015002TW</t>
  </si>
  <si>
    <t>MS COL SHEETS</t>
  </si>
  <si>
    <t>MS ESSENTIALS-EDI/RWI/YUNU-SHEETS</t>
  </si>
  <si>
    <t>NATCO/WINDHAM WEAVE/WINDHAM TRADING</t>
  </si>
  <si>
    <t>706258615576</t>
  </si>
  <si>
    <t>Martha Stewart Collection Essentials Classic Quilted Que White Queen</t>
  </si>
  <si>
    <t>100058088QN</t>
  </si>
  <si>
    <t>QNMATTRESS</t>
  </si>
  <si>
    <t>ESSENTIALS BY MARTHA/JLA HOME</t>
  </si>
  <si>
    <t>BRYAN KEITH/CHF INDUSTRIES</t>
  </si>
  <si>
    <t>SM3SSK</t>
  </si>
  <si>
    <t>MED PINK</t>
  </si>
  <si>
    <t>COZY HOME FASHION/SANDER SALES ENT</t>
  </si>
  <si>
    <t>MARTHA S-EDI/RWI/PEM-SHEETS</t>
  </si>
  <si>
    <t>BERKSHIRE BLANKET</t>
  </si>
  <si>
    <t>AMERICAN FIBER IND/SPRINGS IND</t>
  </si>
  <si>
    <t>29927431988</t>
  </si>
  <si>
    <t>Sun Zero Sun Zero Grant 54 x 95 Rod P Taupe 54x95</t>
  </si>
  <si>
    <t>GRANT</t>
  </si>
  <si>
    <t>KENNEY MANUFACTURING COMPANY</t>
  </si>
  <si>
    <t>TURQ/AQUA</t>
  </si>
  <si>
    <t>BRIGHTBLUE</t>
  </si>
  <si>
    <t>HARBOR HOUSE/JLA HOME/E &amp; E CO LTD</t>
  </si>
  <si>
    <t>LEVTEX BABY/LEVTEX LLC</t>
  </si>
  <si>
    <t>BETTER TRENDS LLC</t>
  </si>
  <si>
    <t>ST JAMES HOME INC</t>
  </si>
  <si>
    <t>BRNOVERFLW</t>
  </si>
  <si>
    <t>DENY DESIGNS</t>
  </si>
  <si>
    <t>100029145QN</t>
  </si>
  <si>
    <t>CHARTER CLUB-EDI/BIRLA CENTURY</t>
  </si>
  <si>
    <t>734737637245</t>
  </si>
  <si>
    <t>Sunham Williamsburg 8-Pc. Reversible Camel Queen</t>
  </si>
  <si>
    <t>706258090977</t>
  </si>
  <si>
    <t>Charter Club Damask Stripe Supima Cotton 55 White Queen</t>
  </si>
  <si>
    <t>DLLSTQDSWHT</t>
  </si>
  <si>
    <t>733001495314</t>
  </si>
  <si>
    <t>Martha Stewart Collection Reversible 3-Pc. Cheetah-Print Grey FullQueen</t>
  </si>
  <si>
    <t>100100702FQ</t>
  </si>
  <si>
    <t>MMG-MARTHA STEWART/YUNUS</t>
  </si>
  <si>
    <t>706258050841</t>
  </si>
  <si>
    <t>Charter Club Damask Stripe Supima Cotton 55 Cotton Candy Light Pink Queen</t>
  </si>
  <si>
    <t>DLLSTQNSCTN</t>
  </si>
  <si>
    <t>706258049951</t>
  </si>
  <si>
    <t>Charter Club Damask Supima Cotton 550-Threa Horizon Sky Blue Queen</t>
  </si>
  <si>
    <t>DLLSLQNSHZN</t>
  </si>
  <si>
    <t>ELITE HOME PRODUCTS INC</t>
  </si>
  <si>
    <t>HOTEL BY CC-EDI/RWI/SARITA HANDA</t>
  </si>
  <si>
    <t>FRONT: COTTON/POLYESTER/VISCOSE BLEND, BACK: 100% COTTON</t>
  </si>
  <si>
    <t>QNBOTTOMFT</t>
  </si>
  <si>
    <t>QUEEN FLAT</t>
  </si>
  <si>
    <t>191790040984</t>
  </si>
  <si>
    <t>AQ Textiles Camden 1250 thread count 4 pc Red Queen</t>
  </si>
  <si>
    <t>25542103034AQT</t>
  </si>
  <si>
    <t>MEDIUM RED</t>
  </si>
  <si>
    <t>ASSORTED</t>
  </si>
  <si>
    <t>BABY SIGNATURE DBA DAINTY HOME INC</t>
  </si>
  <si>
    <t>100106021ST</t>
  </si>
  <si>
    <t>MARTHA STEWART-EDI/E &amp; E CO LTD</t>
  </si>
  <si>
    <t>LACOSTE/SUNHAM HOME FASHIONS</t>
  </si>
  <si>
    <t>RTMATTRESS</t>
  </si>
  <si>
    <t>651896642838</t>
  </si>
  <si>
    <t>Morgan Home LAST ACT Holiday Print Plush Deck The Halls No Size</t>
  </si>
  <si>
    <t>M642838</t>
  </si>
  <si>
    <t>12 SGL</t>
  </si>
  <si>
    <t>706254462945</t>
  </si>
  <si>
    <t>Hotel Collection Ultimate MicroCotton 30 x 5 White Bath Towels</t>
  </si>
  <si>
    <t>HTLMCBWHT</t>
  </si>
  <si>
    <t>MARTHA STEWART-EDI/RWI/WELSPUN</t>
  </si>
  <si>
    <t>MED BLUE</t>
  </si>
  <si>
    <t>HAND TOWEL</t>
  </si>
  <si>
    <t>STONE COTTAGE/REVMAN INTERNATIONAL</t>
  </si>
  <si>
    <t>Hotel Collection 680 Thread-Count King Duvet Co White King</t>
  </si>
  <si>
    <t>CITY SCENE/REVMAN INTERNATIONAL INC</t>
  </si>
  <si>
    <t>ELLA JAYNE/PILLOW GUY INC</t>
  </si>
  <si>
    <t>LINUM HOME TEXTILES LLC</t>
  </si>
  <si>
    <t>TURKISH COTTON</t>
  </si>
  <si>
    <t>DARK GRAY</t>
  </si>
  <si>
    <t>OSFA REG</t>
  </si>
  <si>
    <t>100% TURKISH COTTON</t>
  </si>
  <si>
    <t>734737620254</t>
  </si>
  <si>
    <t>Sunham Paris 12-Pc. Reversible Comfor Gray Queen</t>
  </si>
  <si>
    <t>Madison Park Hayden Reversible 3-Pc. FullQ Grey FullQueen</t>
  </si>
  <si>
    <t>Dr. Oz Good Life Dr. Oz Good Life Say Goodnight White Standard</t>
  </si>
  <si>
    <t>783048128188</t>
  </si>
  <si>
    <t>Pem America Modern Stripe 8-Pc. Queen Comf Multi Queen</t>
  </si>
  <si>
    <t>BIB3607QN-3240</t>
  </si>
  <si>
    <t>DIGITALPRINTS USA CORP</t>
  </si>
  <si>
    <t>MICROPLUSH</t>
  </si>
  <si>
    <t>IDEA NUOVA INC</t>
  </si>
  <si>
    <t>RT Designers Collection RT Designers Collection Herita Multi</t>
  </si>
  <si>
    <t>10021050QN</t>
  </si>
  <si>
    <t>MARTHA STEWART-EDI/RWI/NAISHAT</t>
  </si>
  <si>
    <t>MED GREEN</t>
  </si>
  <si>
    <t>FABRIC: 100% COTTON</t>
  </si>
  <si>
    <t>VELLUX/WESTPOINT HOME</t>
  </si>
  <si>
    <t>SHELL: 100% COTTON; FILL: DOWN; 700 FILL POWER</t>
  </si>
  <si>
    <t>735837574140</t>
  </si>
  <si>
    <t>Hotel Collection European White Goose Down Ligh White FullQueen</t>
  </si>
  <si>
    <t>HWGDLQ02</t>
  </si>
  <si>
    <t>KING</t>
  </si>
  <si>
    <t>732996465203</t>
  </si>
  <si>
    <t>Hotel Collection 680 Thread-Count Queen Duvet C White FullQueen</t>
  </si>
  <si>
    <t>100069700FQ</t>
  </si>
  <si>
    <t>COTTON; FILL: POLYESTER</t>
  </si>
  <si>
    <t>SHELL: 100% COTTON; FILL: DOWN; 600 FILL POWER</t>
  </si>
  <si>
    <t>SHELL: COTTON; POLYESTER FILL; THREAD COUNT: 300</t>
  </si>
  <si>
    <t>VICTORIA/TEXTILES FROM EUROPE</t>
  </si>
  <si>
    <t>POLYESTER/COTTON</t>
  </si>
  <si>
    <t>ESPRESSO</t>
  </si>
  <si>
    <t>P KAUFMANN INC</t>
  </si>
  <si>
    <t>840008370565</t>
  </si>
  <si>
    <t>Dr. Oz Good Life Dr. Oz Good Life Drift Off Dua White Standard</t>
  </si>
  <si>
    <t>OZGLSSX2GBGF</t>
  </si>
  <si>
    <t>Hotel Collection Cotton 680 Thread Count Queen White Queen</t>
  </si>
  <si>
    <t>CATHAY HOME INC</t>
  </si>
  <si>
    <t>MICROFIBER</t>
  </si>
  <si>
    <t>COVER: POLYESTER; FILL: HYP-ALLERGENIC POLYESTER FIBERFILL</t>
  </si>
  <si>
    <t>HOME WEAVERS INC</t>
  </si>
  <si>
    <t>732997393963</t>
  </si>
  <si>
    <t>Hotel Collection Primaloft 450-Thread Count Sof White Standard</t>
  </si>
  <si>
    <t>100083176QN</t>
  </si>
  <si>
    <t>OUTER COVER: COTTON; INNER SHELL: COTTON; FILL: POLYESTER FIBERFILL</t>
  </si>
  <si>
    <t>SATURDAY KNIGHT LTD</t>
  </si>
  <si>
    <t>734737552388</t>
  </si>
  <si>
    <t>Sunham Colesville 3-Pc. Comforter Set Blush FullQueen</t>
  </si>
  <si>
    <t>18953122V</t>
  </si>
  <si>
    <t>ENVOGUE INTERNATIONAL LLC</t>
  </si>
  <si>
    <t>VERA BRADLEY/PEKING HANDICRAFT INC</t>
  </si>
  <si>
    <t>KG/BATHSHT</t>
  </si>
  <si>
    <t>Martha Stewart Collection Feels Like Down StandardQueen White Standard</t>
  </si>
  <si>
    <t>MARTHA STEWART-EDI/DOWNLITE</t>
  </si>
  <si>
    <t>CALVIN KLEIN/HOLLANDER SLEEP PROD</t>
  </si>
  <si>
    <t>706257998120</t>
  </si>
  <si>
    <t>Hotel Collection Fresco King Comforter Gold King</t>
  </si>
  <si>
    <t>FO02KC790</t>
  </si>
  <si>
    <t>783048106643</t>
  </si>
  <si>
    <t>Pem America 5th Avenue Lux Roya 7-Piece Ki Light Blue King</t>
  </si>
  <si>
    <t>CS3213KG7-1300</t>
  </si>
  <si>
    <t>732994628945</t>
  </si>
  <si>
    <t>Charter Club Cotton 700-Thread Count 4-Pc. Sand Dune Queen</t>
  </si>
  <si>
    <t>100036508FQ</t>
  </si>
  <si>
    <t>FABRIC: COTTON/SPANDEX; REVERSE: COTTON; THREAD COUNT: 188; POLYESTER FILL</t>
  </si>
  <si>
    <t>732998216032</t>
  </si>
  <si>
    <t>Charter Club Damask Supima Cotton 550-Threa Neo Natural Queen</t>
  </si>
  <si>
    <t>DLLSLQNSNAT</t>
  </si>
  <si>
    <t>FABRIC: COTTON; POLYESTER FILL 285 GRAMS PER SQUARE METER</t>
  </si>
  <si>
    <t>ESSENTIALS BY MARTHA-EDI/CARPENTER</t>
  </si>
  <si>
    <t>706257998182</t>
  </si>
  <si>
    <t>Hotel Collection Fresco King Sham Gold King Sham</t>
  </si>
  <si>
    <t>FO14KS790</t>
  </si>
  <si>
    <t>FABRIC: 100% COTTON; THREAD COUNT: 550</t>
  </si>
  <si>
    <t>Mistletoe Farms 3 Piece Counter Set Red ONE SIZE</t>
  </si>
  <si>
    <t>INDECOR HOME LLC</t>
  </si>
  <si>
    <t>CLSD-MS M/BED</t>
  </si>
  <si>
    <t>MARTHA STEWART-EDI/BCP HOME INC</t>
  </si>
  <si>
    <t>COVER: COTTON 450 TC; POLYESTER FILL</t>
  </si>
  <si>
    <t>KING FLAT</t>
  </si>
  <si>
    <t>HOTEL BY C CLUB-EDI/RWI/VTX</t>
  </si>
  <si>
    <t>KENNETH COLE/REVMAN INTERNATIONAL</t>
  </si>
  <si>
    <t>726895696370</t>
  </si>
  <si>
    <t>Hotel Collection Voile King Sham Grey King Sham</t>
  </si>
  <si>
    <t>100024682KG</t>
  </si>
  <si>
    <t>734737558342</t>
  </si>
  <si>
    <t>Fairfield Square Collection Austin 8-Pc. Reversible Comfor Taupe King</t>
  </si>
  <si>
    <t>734737422957</t>
  </si>
  <si>
    <t>Fairfield Square Collection Austin 8-Pc. Reversible Comfor Red Queen</t>
  </si>
  <si>
    <t>15977229V</t>
  </si>
  <si>
    <t>SHELL: POLYESTER;</t>
  </si>
  <si>
    <t>810031410279</t>
  </si>
  <si>
    <t>Battilo Battilo Home Knit Diamond Patt Navy</t>
  </si>
  <si>
    <t>BTL15011-NAVY-L</t>
  </si>
  <si>
    <t>MARTHA STEWART-EDI/PAC-FUNG FEATHER</t>
  </si>
  <si>
    <t>706258051299</t>
  </si>
  <si>
    <t>Charter Club Damask Pima Cotton 550-Thread White Queen</t>
  </si>
  <si>
    <t>DNSLDQNBWHT</t>
  </si>
  <si>
    <t>BROWN</t>
  </si>
  <si>
    <t>CCELITEH</t>
  </si>
  <si>
    <t>SFERRA FINE LINENS LLC</t>
  </si>
  <si>
    <t>MADE IN ITALY</t>
  </si>
  <si>
    <t>KGJUMBOFIT</t>
  </si>
  <si>
    <t>BODY: POLYESTER;</t>
  </si>
  <si>
    <t>SKY TEXTILES-BLM</t>
  </si>
  <si>
    <t>CLSD-LKY BEDD</t>
  </si>
  <si>
    <t>LUCKY - MMG</t>
  </si>
  <si>
    <t>PIMA COTTON</t>
  </si>
  <si>
    <t>788904113353</t>
  </si>
  <si>
    <t>Royal Luxe White Goose 240-Thread Count K White King</t>
  </si>
  <si>
    <t>DOWN FILL</t>
  </si>
  <si>
    <t>POPPY &amp; FRITZ/REVMAN INTERNATIONAL</t>
  </si>
  <si>
    <t>ALLIED HOME LLC</t>
  </si>
  <si>
    <t>22415224222</t>
  </si>
  <si>
    <t>Sealy Sealy Premium Down Wrap Pillow White Standard</t>
  </si>
  <si>
    <t>HUDSON PARK-EDI/RWI/VTX</t>
  </si>
  <si>
    <t>MADE IN INDIA</t>
  </si>
  <si>
    <t>100% SUPIMA COTTON SATEEN</t>
  </si>
  <si>
    <t>86569152855</t>
  </si>
  <si>
    <t>Urban Habitat Urban Habitat Brooklyn 70 x 7 Ivory 70X72</t>
  </si>
  <si>
    <t>UH70-2241</t>
  </si>
  <si>
    <t>783048124715</t>
  </si>
  <si>
    <t>Pem America Blue Watercolor Floral Queen 8 Blue Queen</t>
  </si>
  <si>
    <t>BIB3544QN-3240</t>
  </si>
  <si>
    <t>LEVINSOHN TEXTILE CO INC</t>
  </si>
  <si>
    <t>DROP: COTTON / POLYESTER; PLATFORM: POLYPROPYLENE</t>
  </si>
  <si>
    <t>36X3X20</t>
  </si>
  <si>
    <t>735732247361</t>
  </si>
  <si>
    <t>Victoria Classics Fireside Sherpa Throw Navy 50x60</t>
  </si>
  <si>
    <t>SP4-THR-5060-MC-NAVY</t>
  </si>
  <si>
    <t>86569420381</t>
  </si>
  <si>
    <t>Addison Park Adela 9-Pc. King Comforter Set Multi King</t>
  </si>
  <si>
    <t>MCH10-2176</t>
  </si>
  <si>
    <t>706254838924</t>
  </si>
  <si>
    <t>Martha Stewart Collection Seersucker 2-Pc. Twin Comforte Grey TwinTwin XL</t>
  </si>
  <si>
    <t>100036508TW</t>
  </si>
  <si>
    <t>FABRIC: COTTON/SPANDEX; THREAD COUNT: 188; POLYESTER FILL</t>
  </si>
  <si>
    <t>732994719445</t>
  </si>
  <si>
    <t>Hotel Collection Cotton SmallMedium Spa Robe White LXL</t>
  </si>
  <si>
    <t>675716866303</t>
  </si>
  <si>
    <t>Mi Zone Allison 4-Pc. FullQueen Duvet Blue FullQueen</t>
  </si>
  <si>
    <t>MZ12-515</t>
  </si>
  <si>
    <t>DUVET/SHAM/PILLOW COVER: POLYESTER; PILLOW FILL: POLYESTER</t>
  </si>
  <si>
    <t>100% MICROFIBER POLYESTER.</t>
  </si>
  <si>
    <t>10021050KG</t>
  </si>
  <si>
    <t>BRGHT YELL</t>
  </si>
  <si>
    <t>POLYESTER VELVET</t>
  </si>
  <si>
    <t>706258615880</t>
  </si>
  <si>
    <t>Martha Stewart Collection Essentials Quilted Waterproof White Queen</t>
  </si>
  <si>
    <t>100058089QN</t>
  </si>
  <si>
    <t>854130004083</t>
  </si>
  <si>
    <t>Morning Glamour Single Header Bag -Pretty Flor Ivory Standard Pillowcases</t>
  </si>
  <si>
    <t>SINGLEBAG</t>
  </si>
  <si>
    <t>MORNING GLAMOUR/TCG CONTINUUM LLC</t>
  </si>
  <si>
    <t>100% SATIN CHARMEUSE POLYESTER</t>
  </si>
  <si>
    <t>IENJOY HOME/IENJOY LLC</t>
  </si>
  <si>
    <t>608356694272</t>
  </si>
  <si>
    <t>Charter Club Elite Hygro Cotton Hand Towel Camel Hand Towels</t>
  </si>
  <si>
    <t>EGYPTIAN COTTON</t>
  </si>
  <si>
    <t>Hotel Collection Classic Grand Bouquet FullQue Purple FullQueen</t>
  </si>
  <si>
    <t>706258596455</t>
  </si>
  <si>
    <t>Charter Club Ultra Fine Cotton 800-Thread C Ivory King</t>
  </si>
  <si>
    <t>T800KGSIVR</t>
  </si>
  <si>
    <t>CHARTER CLUB-EDI/RWI/NAISHAT</t>
  </si>
  <si>
    <t>733001947769</t>
  </si>
  <si>
    <t>Martha Stewart Collection Flora Fauna Yarn Dye Patchwork Pink FullQueen</t>
  </si>
  <si>
    <t>100115787FQ</t>
  </si>
  <si>
    <t>734737637283</t>
  </si>
  <si>
    <t>Sunham Willoughby 8-Pc. Reversible Ki Stone King</t>
  </si>
  <si>
    <t>POLYESTER; POLYESTER FILL</t>
  </si>
  <si>
    <t>ARLEE HOME FASHIONS</t>
  </si>
  <si>
    <t>MADE IN USA AND IMPORTED</t>
  </si>
  <si>
    <t>POLYESTER FIBER</t>
  </si>
  <si>
    <t>191790024434</t>
  </si>
  <si>
    <t>Fairfield Square Collection Brookline 1400-Thread Count 6- Sky Blue Queen</t>
  </si>
  <si>
    <t>23302103175AQT</t>
  </si>
  <si>
    <t>FRONT: POLYESTER/COTTON BLEND, BACK: 100% COTTON, FILL: 100% POLYESTER</t>
  </si>
  <si>
    <t>AQ Textiles Optimum Performance 625-Thread White Queen</t>
  </si>
  <si>
    <t>841643168883</t>
  </si>
  <si>
    <t>Duck River Textile Tayla 36 x 84 Tonal Geometri Taupe ONE SIZE</t>
  </si>
  <si>
    <t>TAYLA11603D 12</t>
  </si>
  <si>
    <t>W-C HOME FASHIONS LLC</t>
  </si>
  <si>
    <t>COVER: 300 THREAD COUNT COTTON; FILL: POLYESTER/GEL BEADS</t>
  </si>
  <si>
    <t>MARTHA STEWART-MMG/HOLLANDER</t>
  </si>
  <si>
    <t>NYLON</t>
  </si>
  <si>
    <t>10021053KP</t>
  </si>
  <si>
    <t>25695992911</t>
  </si>
  <si>
    <t>Calvin Klein Monogram Logo Extra Firm Suppo White</t>
  </si>
  <si>
    <t>99291-5679</t>
  </si>
  <si>
    <t>COTTON COVER; POLYESTER FIBER FILL</t>
  </si>
  <si>
    <t>191790043879</t>
  </si>
  <si>
    <t>WHT T800 COT QN</t>
  </si>
  <si>
    <t>25892103001AQT</t>
  </si>
  <si>
    <t>750105134437</t>
  </si>
  <si>
    <t>Charter Club European White Down Medium Wei White King</t>
  </si>
  <si>
    <t>FEDC0820WK</t>
  </si>
  <si>
    <t>HOTEL BY C CLUB-EDI/RWI/KADRI MILLS</t>
  </si>
  <si>
    <t>733001843733</t>
  </si>
  <si>
    <t>Charter Club Amara 300-Thread Count 3-Pc. P Navy King</t>
  </si>
  <si>
    <t>100115576KG</t>
  </si>
  <si>
    <t>STDTAILOR</t>
  </si>
  <si>
    <t>DONNA KARAN HOME/CHF INDUSTRIES</t>
  </si>
  <si>
    <t>70X52</t>
  </si>
  <si>
    <t>34086778287</t>
  </si>
  <si>
    <t>Serta Chill Luxe StandardQueen Pill White StandardQueen</t>
  </si>
  <si>
    <t>ESSENTIAL MARTHA/EDI/FAZE THREE</t>
  </si>
  <si>
    <t>FABRIC: POLYESTER; REVERSE TO LATEX</t>
  </si>
  <si>
    <t>732996468815</t>
  </si>
  <si>
    <t>Hotel Collection Classic Scroll Applique Cotto White King</t>
  </si>
  <si>
    <t>100070656KG</t>
  </si>
  <si>
    <t>732998216193</t>
  </si>
  <si>
    <t>Charter Club Damask Stripe Supima Cotton 55 Neo Natural Queen</t>
  </si>
  <si>
    <t>DLLSTQNSNAT</t>
  </si>
  <si>
    <t>706258050773</t>
  </si>
  <si>
    <t>DLLSTQNSWHT</t>
  </si>
  <si>
    <t>EXCLUSIVE HOME/AMALGAMATED TEXTILES</t>
  </si>
  <si>
    <t>LTBOTTOMFT</t>
  </si>
  <si>
    <t>726895696332</t>
  </si>
  <si>
    <t>Hotel Collection Linen Standard Sham Grey Standard Sham</t>
  </si>
  <si>
    <t>100024680SD</t>
  </si>
  <si>
    <t>100% EGYPTIAN COTTON</t>
  </si>
  <si>
    <t>706254463232</t>
  </si>
  <si>
    <t>Hotel Collection Ultimate MicroCotton 16 x 30 White Hand Towels</t>
  </si>
  <si>
    <t>HTLMCHWHT</t>
  </si>
  <si>
    <t>WINE</t>
  </si>
  <si>
    <t>EX-CELL HOME FASHIONS INC</t>
  </si>
  <si>
    <t>DOWN LITE INTERNATIONAL</t>
  </si>
  <si>
    <t>840008370541</t>
  </si>
  <si>
    <t>OZGLSSSCMPVGB</t>
  </si>
  <si>
    <t>706258615675</t>
  </si>
  <si>
    <t>Martha Stewart Collection Essentials Quilted Waterproof White Full</t>
  </si>
  <si>
    <t>100058089FU</t>
  </si>
  <si>
    <t>MATOUK/JOHN MATOUK AND CO INC</t>
  </si>
  <si>
    <t>HUDSON PARK-EDI/RWI/ITALIAN PERCALE</t>
  </si>
  <si>
    <t>100115788KG</t>
  </si>
  <si>
    <t>840008369989</t>
  </si>
  <si>
    <t>Dr. Oz Good Life Dr. Oz Good Life Safe in Bed W White Queen</t>
  </si>
  <si>
    <t>OZGL40QQWP</t>
  </si>
  <si>
    <t>42694347696</t>
  </si>
  <si>
    <t>Charter Club Classic Bath Rug Cc Classic 25.5X44 25.5 x 44</t>
  </si>
  <si>
    <t>CSOLD2X4GR</t>
  </si>
  <si>
    <t>TOP: 300TC 100% COTTON; BACK: POLYURETHANE; SKIRT: POLYESTER</t>
  </si>
  <si>
    <t>HUDSON PARK</t>
  </si>
  <si>
    <t>732996037103</t>
  </si>
  <si>
    <t>Martha Stewart Collection 2-Pc. Noodle Rug Set Grey</t>
  </si>
  <si>
    <t>CCELITES</t>
  </si>
  <si>
    <t>706257490365</t>
  </si>
  <si>
    <t>Martha Stewart Collection Spa Bath Towel Meringue Bath Towels</t>
  </si>
  <si>
    <t>MSPLSHBMRG</t>
  </si>
  <si>
    <t>735837083055</t>
  </si>
  <si>
    <t>Hotel Collection Hotel Collection Luxury Down A White FullQueen</t>
  </si>
  <si>
    <t>HDAQ902</t>
  </si>
  <si>
    <t>HUDSON PARK COLLECTION-BLM</t>
  </si>
  <si>
    <t>783048124999</t>
  </si>
  <si>
    <t>Pem America Manilla Floral FullQueen 3PC Multi FullQueen</t>
  </si>
  <si>
    <t>CS3551FQ-1540</t>
  </si>
  <si>
    <t>MADE IN PORTUGAL</t>
  </si>
  <si>
    <t>766370173651</t>
  </si>
  <si>
    <t>Hotel Collection Cotton Reversible 18 x 25 Ru ivory 18 x 25</t>
  </si>
  <si>
    <t>HCOTR1X2I</t>
  </si>
  <si>
    <t>706258616344</t>
  </si>
  <si>
    <t>Martha Stewart Collection Essentials 2-Pack StandardQue White StandardQueen</t>
  </si>
  <si>
    <t>100058083QN</t>
  </si>
  <si>
    <t>250 THREAD COUNT 100% COTTON, KNIFE EDGE, EXCLUSIVE OF DECORATION</t>
  </si>
  <si>
    <t>689192618950</t>
  </si>
  <si>
    <t>Ella Jayne 15lb Reversible Anti-Anxiety W GreyPink</t>
  </si>
  <si>
    <t>EJHCFWT-GP-S-15</t>
  </si>
  <si>
    <t>PILLOW GUY INC</t>
  </si>
  <si>
    <t>FRONT: MICROFIBER; REVERSE: MINKY; FILL: GLASS BEADS POLYESTER</t>
  </si>
  <si>
    <t>735837086322</t>
  </si>
  <si>
    <t>Hotel Collection Step Up Down-Alternative Mediu White King</t>
  </si>
  <si>
    <t>HDAMK905</t>
  </si>
  <si>
    <t>732997393987</t>
  </si>
  <si>
    <t>Hotel Collection Primaloft 450-Thread Count Med White King</t>
  </si>
  <si>
    <t>100083175KG</t>
  </si>
  <si>
    <t>734737570733</t>
  </si>
  <si>
    <t>Fairfield Square Collection Amalanta Reversible 8-Pc. Quee Red Queen</t>
  </si>
  <si>
    <t>800298618457</t>
  </si>
  <si>
    <t>Donna Karan Moonscape Reversible Leather C Charcoal</t>
  </si>
  <si>
    <t>MOD118173PLG</t>
  </si>
  <si>
    <t>SHELL: COTTON; FILLING: DOWN/FEATHERS</t>
  </si>
  <si>
    <t>DARKPURPLE</t>
  </si>
  <si>
    <t>LAUREN BEDDNG</t>
  </si>
  <si>
    <t>LAUREN BY RL/RALPH LAUREN HOME COLL</t>
  </si>
  <si>
    <t>FABRIC: POLYESTER 260 GSM, REVERSES TO 180 GSM; POLYESTER FILL</t>
  </si>
  <si>
    <t>726895696318</t>
  </si>
  <si>
    <t>Hotel Collection Linen King Sham Grey King Sham</t>
  </si>
  <si>
    <t>100024680KG</t>
  </si>
  <si>
    <t>DARKORANGE</t>
  </si>
  <si>
    <t>FAKE-SILK FABRIC AND LINING: POLYESTER</t>
  </si>
  <si>
    <t>675716802257</t>
  </si>
  <si>
    <t>Madison Park Elma Oversized Reversible 60 Blue 60x70</t>
  </si>
  <si>
    <t>MP50-3254</t>
  </si>
  <si>
    <t>FACE: POLYESTER</t>
  </si>
  <si>
    <t>PINKOVERFL</t>
  </si>
  <si>
    <t>FABRIC: POLYESTER; COVERLET FILL: COTTON/POLYESTER/OTHER 85 GSM</t>
  </si>
  <si>
    <t>709271377599</t>
  </si>
  <si>
    <t>Calvin Klein Modern Cotton Body FullQueen Gray FullQueen</t>
  </si>
  <si>
    <t>141BODY-FQ-G1-D2</t>
  </si>
  <si>
    <t>POLYESTER/NYLON</t>
  </si>
  <si>
    <t>726895696400</t>
  </si>
  <si>
    <t>Hotel Collection Linen 14 X 24 Decorative Pil Grey</t>
  </si>
  <si>
    <t>KEECO LLC/GRASSI ASSOCIATES INC</t>
  </si>
  <si>
    <t>FABRIC: POLYESTER</t>
  </si>
  <si>
    <t>SAKATTA INC</t>
  </si>
  <si>
    <t>810029192804</t>
  </si>
  <si>
    <t>HLC.me Lumino by HLC.me Perth Semi Sh Beige 54x84</t>
  </si>
  <si>
    <t>NU-51W8-B1IZ</t>
  </si>
  <si>
    <t>12X18</t>
  </si>
  <si>
    <t>RUSTCOPPER</t>
  </si>
  <si>
    <t>732998127345</t>
  </si>
  <si>
    <t>NEW SWTH STR SHAM BASIC</t>
  </si>
  <si>
    <t>100090475ST</t>
  </si>
  <si>
    <t>42075573645</t>
  </si>
  <si>
    <t>Peri Home Peri Home Vintage Tile FullQu Linen FullQueen</t>
  </si>
  <si>
    <t>2-2131C3LE</t>
  </si>
  <si>
    <t>732999290222</t>
  </si>
  <si>
    <t>Hotel Collection Hotel Collection Bedford Geo F Grey FullQueen</t>
  </si>
  <si>
    <t>100097637QN</t>
  </si>
  <si>
    <t>750105138329</t>
  </si>
  <si>
    <t>Charter Club Firm King Down Pillow White King</t>
  </si>
  <si>
    <t>FEDP0860WK</t>
  </si>
  <si>
    <t>732995797558</t>
  </si>
  <si>
    <t>Martha Stewart Collection Essentials Jersey 4-Pc. Full S Heathered Light Grey Queen</t>
  </si>
  <si>
    <t>10015002QN</t>
  </si>
  <si>
    <t>VALA20X146</t>
  </si>
  <si>
    <t>PEGASUS HOME FASHIONS</t>
  </si>
  <si>
    <t>732999832873</t>
  </si>
  <si>
    <t>Martha Stewart Collection Martha Stewart Collection Hill Multi FullQueen</t>
  </si>
  <si>
    <t>100102819FQ</t>
  </si>
  <si>
    <t>83013296790</t>
  </si>
  <si>
    <t>Croscill Julius 4 Piece Queen Comforter Red Queen</t>
  </si>
  <si>
    <t>2A0-003C0-0820</t>
  </si>
  <si>
    <t>TEMPUR-PEDIC NORTH AMERICA INC</t>
  </si>
  <si>
    <t>MMG-MARTHA STEWART-EDI/SUNHAM HOME</t>
  </si>
  <si>
    <t>788904002176</t>
  </si>
  <si>
    <t>Blue Ridge Blue Ridge Reversible Down Alt Blackplatinum King</t>
  </si>
  <si>
    <t>MYTEX LLC</t>
  </si>
  <si>
    <t>636206071829</t>
  </si>
  <si>
    <t>Hotel Collection Dimensional King Comforter Blue King</t>
  </si>
  <si>
    <t>100044714KG</t>
  </si>
  <si>
    <t>732997906477</t>
  </si>
  <si>
    <t>Hotel Collection Hotel Collection Terra King Du Grey King</t>
  </si>
  <si>
    <t>100073973KG</t>
  </si>
  <si>
    <t>732998792819</t>
  </si>
  <si>
    <t>Charter Club Damask Cotton 210-Thread Count Smoke King</t>
  </si>
  <si>
    <t>DSKQLTCKGSMO</t>
  </si>
  <si>
    <t>726895578201</t>
  </si>
  <si>
    <t>Martha Stewart Collection Solid Open Stock 400-Thread Co Storm Cloud Dark Grey King Fitted</t>
  </si>
  <si>
    <t>84X7X48/4</t>
  </si>
  <si>
    <t>BY APPOINTMENT-EXCELL HOME FASHIONS</t>
  </si>
  <si>
    <t>DISNEY/JAY FRANCO &amp; SONS</t>
  </si>
  <si>
    <t>732997262931</t>
  </si>
  <si>
    <t>Charter Club Damask Designs 500 Thread Coun Inverted Smoke Queen</t>
  </si>
  <si>
    <t>100068408QN</t>
  </si>
  <si>
    <t>BTL15032</t>
  </si>
  <si>
    <t>INTERLINK PRODUCTS</t>
  </si>
  <si>
    <t>HIGH-GRADE ABS PLASTIC</t>
  </si>
  <si>
    <t>732996249995</t>
  </si>
  <si>
    <t>Charter Club 360 Down Chamber 325-Thread Co White Standard</t>
  </si>
  <si>
    <t>100069643SQ</t>
  </si>
  <si>
    <t>706255403657</t>
  </si>
  <si>
    <t>Martha Stewart Collection Martha Stewart Collection Piqu Chalk Queen</t>
  </si>
  <si>
    <t>SPQQBSC822</t>
  </si>
  <si>
    <t>86569363435</t>
  </si>
  <si>
    <t>Martha Stewart Collection Essentials Solid Comforter Ful White FullQueen</t>
  </si>
  <si>
    <t>10012459FL</t>
  </si>
  <si>
    <t>732997906606</t>
  </si>
  <si>
    <t>Hotel Collection Hotel Collection Terra FullQu Grey FullQueen</t>
  </si>
  <si>
    <t>100075869FQ</t>
  </si>
  <si>
    <t>FRONT: COTTON/POLYESTER/VISCOSE BLEND, BACK: 100% COTTON, 100% POLYESTER FILL</t>
  </si>
  <si>
    <t>706257404362</t>
  </si>
  <si>
    <t>Hotel Collection Cotton 680 Thread Count Set of White Standard</t>
  </si>
  <si>
    <t>68H24STPC</t>
  </si>
  <si>
    <t>FABRIC AND FILL: POLYESTER</t>
  </si>
  <si>
    <t>MICRO FLANNEL/SHAVEL ASSOCIATES INC</t>
  </si>
  <si>
    <t>732996347707</t>
  </si>
  <si>
    <t>Martha Stewart Collection Winter Floral 3-Pc. FullQueen Blue FullQueen</t>
  </si>
  <si>
    <t>100057467FQ</t>
  </si>
  <si>
    <t>FABRIC: COTTON; FILL: POLYESTER</t>
  </si>
  <si>
    <t>726895863819</t>
  </si>
  <si>
    <t>Hotel Collection Linen Standard Sham White Standard Sham</t>
  </si>
  <si>
    <t>100028121SD</t>
  </si>
  <si>
    <t>96675394018</t>
  </si>
  <si>
    <t>SensorPEDIC 2 Pack Fresh Clean Standard White Standard</t>
  </si>
  <si>
    <t>DARK PINK</t>
  </si>
  <si>
    <t>86569363411</t>
  </si>
  <si>
    <t>Martha Stewart Collection Martha Stewart Essentials Reve Burgundy King</t>
  </si>
  <si>
    <t>10012459KG</t>
  </si>
  <si>
    <t>679610822625</t>
  </si>
  <si>
    <t>Hallmart Collectibles Ambrosia 3-Pc. Reversible King Aqua King</t>
  </si>
  <si>
    <t>HALLMART COLLECTIBLES INC</t>
  </si>
  <si>
    <t>732996468020</t>
  </si>
  <si>
    <t>Hotel Collection Classic Roseblush King Duvet C Blush King</t>
  </si>
  <si>
    <t>100072028KG</t>
  </si>
  <si>
    <t>FABRIC: POLYESTER/COTTON; REVERSES TO COTTON</t>
  </si>
  <si>
    <t>96675805187</t>
  </si>
  <si>
    <t>SensorPEDIC SensorPEDIC MemoryLOFT 3 Gel- White King</t>
  </si>
  <si>
    <t>COVER: 220TC POLYESTER; FILL: POLYESTER/MEMORY FOAM CLUSTERS</t>
  </si>
  <si>
    <t>646998692744</t>
  </si>
  <si>
    <t>Martha Stewart Collection Martha Stewart Monroe Metallic Grey 50x95</t>
  </si>
  <si>
    <t>1-20140AGY</t>
  </si>
  <si>
    <t>732998216261</t>
  </si>
  <si>
    <t>Charter Club Damask Thin Stripe Cotton 550- Neo Natural King</t>
  </si>
  <si>
    <t>732997147139</t>
  </si>
  <si>
    <t>Charter Club Oak Leaf 3-Pc. FullQueen Comf Green FullQueen</t>
  </si>
  <si>
    <t>100058465FQ</t>
  </si>
  <si>
    <t>788904113346</t>
  </si>
  <si>
    <t>Royal Luxe White Goose 240-Thread Count F White FullQueen</t>
  </si>
  <si>
    <t>706258049159</t>
  </si>
  <si>
    <t>Charter Club Damask Supima Cotton 550-Threa Marina Dark Blue Full</t>
  </si>
  <si>
    <t>DLDSLFLSMAR</t>
  </si>
  <si>
    <t>732994215718</t>
  </si>
  <si>
    <t>Charter Club Damask Designs Paisley 300-Thr Spice Twin</t>
  </si>
  <si>
    <t>100022742TW</t>
  </si>
  <si>
    <t>FABRIC: 100% COTTON; POLYESTER FILL</t>
  </si>
  <si>
    <t>86569099716</t>
  </si>
  <si>
    <t>Hotel Collection Egyptian Cotton FullQueen Bla White FullQueen</t>
  </si>
  <si>
    <t>10028634FQ</t>
  </si>
  <si>
    <t>HOTEL COLLECTION-EDI/JLA HOME</t>
  </si>
  <si>
    <t>191790024410</t>
  </si>
  <si>
    <t>Fairfield Square Collection Brookline 1400-Thread Count 6- Ivory Queen</t>
  </si>
  <si>
    <t>23302103003AQT</t>
  </si>
  <si>
    <t>840970106186</t>
  </si>
  <si>
    <t>Cathay Home Inc. Luxe Embossed Micro Mink Full Chocolate Mink FullQueen</t>
  </si>
  <si>
    <t>108181-FQ-CHOC</t>
  </si>
  <si>
    <t>DARK BROWN</t>
  </si>
  <si>
    <t>734737581494</t>
  </si>
  <si>
    <t>Sunham Irene 8-Pc. Reversible Queen C Blush Queen</t>
  </si>
  <si>
    <t>734737485648</t>
  </si>
  <si>
    <t>Fairfield Square Collection Austin 8-Pc. Reversible Comfor Blue Full</t>
  </si>
  <si>
    <t>1575C129V</t>
  </si>
  <si>
    <t>733001947950</t>
  </si>
  <si>
    <t>Martha Stewart Collection Floral Bouquet King Sham, Crea Ivory King Sham</t>
  </si>
  <si>
    <t>100115801KS</t>
  </si>
  <si>
    <t>788904135768</t>
  </si>
  <si>
    <t>Royal Luxe Royal Luxe Microfiber Color Do Medium Blue FullQueen</t>
  </si>
  <si>
    <t>732998285502</t>
  </si>
  <si>
    <t>Charter Club Damask Pima Cotton 550-Thread Neo Natural Full</t>
  </si>
  <si>
    <t>DNSLDFLBNAT</t>
  </si>
  <si>
    <t>54006632208</t>
  </si>
  <si>
    <t>Achim Windsor 34x84 SV Camel ONE SIZE</t>
  </si>
  <si>
    <t>WNPP84CM06</t>
  </si>
  <si>
    <t>ACHIM IMPORTING CO INC</t>
  </si>
  <si>
    <t>86569280305</t>
  </si>
  <si>
    <t>Madison Park Cecily Printed Grommet 50 x 8 Mauve 50x84</t>
  </si>
  <si>
    <t>MP40-6605</t>
  </si>
  <si>
    <t>733001363132</t>
  </si>
  <si>
    <t>Martha Stewart Collection LAST ACT Medallion Tufted Vel Gray Standard Sham</t>
  </si>
  <si>
    <t>733001947974</t>
  </si>
  <si>
    <t>Martha Stewart Collection Floral Bouquet Standard Sham, Ivory Standard Sham</t>
  </si>
  <si>
    <t>100115801ST</t>
  </si>
  <si>
    <t>732995157864</t>
  </si>
  <si>
    <t>Charter Club Damask Cotton 210-Thread Count Sunglow European Sham</t>
  </si>
  <si>
    <t>DSKQLTCEUSUN</t>
  </si>
  <si>
    <t>806222684383</t>
  </si>
  <si>
    <t>Divatex Cotton Textured Quick-Dry 27 Tan Bath Towels</t>
  </si>
  <si>
    <t>2750118-BT-T1-O42</t>
  </si>
  <si>
    <t>DIVATEX/HIMATSINGKA AMERICA</t>
  </si>
  <si>
    <t>806222684352</t>
  </si>
  <si>
    <t>Divatex Cotton Textured Quick-Dry 27 Gray Bath Towels</t>
  </si>
  <si>
    <t>2750118-BT-G2-O42</t>
  </si>
  <si>
    <t>806222684369</t>
  </si>
  <si>
    <t>Divatex Cotton Textured Quick-Dry 27 Pink Bath Towels</t>
  </si>
  <si>
    <t>2750118-BT-P1-O42</t>
  </si>
  <si>
    <t>732998250746</t>
  </si>
  <si>
    <t>SERENA SMPL BNDL</t>
  </si>
  <si>
    <t>SERENABNDL</t>
  </si>
  <si>
    <t>29927578669</t>
  </si>
  <si>
    <t>Sun Zero Sun Zero Saxon 54 x 108 Blac Silver 54 x 108</t>
  </si>
  <si>
    <t>29927578454</t>
  </si>
  <si>
    <t>Sun Zero Sun Zero Saxon 54 x 63 Black Silver 54x63</t>
  </si>
  <si>
    <t>784857925869</t>
  </si>
  <si>
    <t>Villa Luxe 2-Pc. Faux-Fur Memory Foam Bat Beige No Size</t>
  </si>
  <si>
    <t>YK700128</t>
  </si>
  <si>
    <t>733001428602</t>
  </si>
  <si>
    <t>Martha Stewart Collection Essentials 200-Thread Count Ho Snowflake Twin</t>
  </si>
  <si>
    <t>100108333TW</t>
  </si>
  <si>
    <t>846339080425</t>
  </si>
  <si>
    <t>J Queen New York J Queen New York Astoria Queen White Queen</t>
  </si>
  <si>
    <t>2236020QCS</t>
  </si>
  <si>
    <t>732998346654</t>
  </si>
  <si>
    <t>Martha Stewart Collection Ivory Paisley Plume 14-Pc. Kin Ivory King</t>
  </si>
  <si>
    <t>100089179KG</t>
  </si>
  <si>
    <t>706257998267</t>
  </si>
  <si>
    <t>Hotel Collection Fresco Quilted FullQueen Cove Gold FullQueen</t>
  </si>
  <si>
    <t>FO22QC790</t>
  </si>
  <si>
    <t>675716535278</t>
  </si>
  <si>
    <t>Madison Park Blaire 7-Pc. Faux-Silk Califor Grey California King</t>
  </si>
  <si>
    <t>MP10-950</t>
  </si>
  <si>
    <t>FAUX-SILK COMFORTER AND SHAM FACE: POLYESTER; MICROFIBER FROM POLYESTER REVERSE; BEDSKIRT: POLYESTER; DECORATIVE PILLOWS: POLYESTER; POLYESTER FILL; COMFORTER FILL: POLYESTER 8-OZ. PER SQUARE YARD</t>
  </si>
  <si>
    <t>657812152573</t>
  </si>
  <si>
    <t>Biddeford Microplush Reverse Sherpa Elec Steel Gray King</t>
  </si>
  <si>
    <t>2064-9052140-903</t>
  </si>
  <si>
    <t>800298615401</t>
  </si>
  <si>
    <t>DKNY DKNY Modern Velvet 50 x 84 C Silver 50x84</t>
  </si>
  <si>
    <t>WED111597L0G</t>
  </si>
  <si>
    <t>679610813579</t>
  </si>
  <si>
    <t>Hallmart Collectibles Lillith 8-Pc. Queen Comforter Lt Pink Queen</t>
  </si>
  <si>
    <t>FABRIC: POLYESTER (EXCLUSIVE OF DECORATION); POLYESTER FILL</t>
  </si>
  <si>
    <t>96675170735</t>
  </si>
  <si>
    <t>SensorGel Luxury Top Loft Gel Fiber Matt White Queen</t>
  </si>
  <si>
    <t>636193818520</t>
  </si>
  <si>
    <t>Charter Club Damask Designs Bouquet 3-Pc. K Poppy King</t>
  </si>
  <si>
    <t>10002959KG</t>
  </si>
  <si>
    <t>FABRIC: COTTON THREAD COUNT: 300</t>
  </si>
  <si>
    <t>646998692577</t>
  </si>
  <si>
    <t>Martha Stewart Collection Martha Stewart Naples Chenille Natural 50x84</t>
  </si>
  <si>
    <t>1-20110GNA</t>
  </si>
  <si>
    <t>642472107025</t>
  </si>
  <si>
    <t>Exclusive Home Exclusive Home Loha Linen Butt Lightpaste 32x96</t>
  </si>
  <si>
    <t>EH836932X96</t>
  </si>
  <si>
    <t>636047343123</t>
  </si>
  <si>
    <t>Greenland Home Fashions Andorra Furniture Protector So Multi Sofa Slipcover</t>
  </si>
  <si>
    <t>GL-1304AFPS</t>
  </si>
  <si>
    <t>GREENLAND HOME FASHIONS</t>
  </si>
  <si>
    <t>732996887593</t>
  </si>
  <si>
    <t>Martha Stewart Collection Winter Plaid Flannel FullQuee Winter Plaid FullQueen</t>
  </si>
  <si>
    <t>100057139FQ</t>
  </si>
  <si>
    <t>DARK GREEN</t>
  </si>
  <si>
    <t>MARTHA STEWART-MMG</t>
  </si>
  <si>
    <t>766195315373</t>
  </si>
  <si>
    <t>Tommy Hilfiger Tommy Hilfiger Solid Core Quee Red Queen</t>
  </si>
  <si>
    <t>10T1440-QN-R1-O2</t>
  </si>
  <si>
    <t>848742076606</t>
  </si>
  <si>
    <t>Lush Decor Lush Decor Allison Ruffle Win Blush 40x84</t>
  </si>
  <si>
    <t>16T003379</t>
  </si>
  <si>
    <t>735732791307</t>
  </si>
  <si>
    <t>VCNY Home Hudson Puff Paint With Blackou Taupe 38x84</t>
  </si>
  <si>
    <t>HUF-4PN-7684-IN-TAUP</t>
  </si>
  <si>
    <t>BLACKOUT PANEL: POLYESTER; PUFF PAINT PANEL: POLYESTER/COTTON</t>
  </si>
  <si>
    <t>86569070098</t>
  </si>
  <si>
    <t>Martha Stewart Collection Down Alternative Reverse to Pl Ash King</t>
  </si>
  <si>
    <t>10028644KG</t>
  </si>
  <si>
    <t>642472105885</t>
  </si>
  <si>
    <t>Exclusive Home Exclusive Home Loha Linen Grom Yellow 54x84</t>
  </si>
  <si>
    <t>EH809154X84</t>
  </si>
  <si>
    <t>783048140135</t>
  </si>
  <si>
    <t>Pem America Katherine 8-Pc. Reversible Kin Blue King</t>
  </si>
  <si>
    <t>BIB3907KG-3240</t>
  </si>
  <si>
    <t>22415086141</t>
  </si>
  <si>
    <t>Sealy Sealy Allergy Advanced Mattres White Queen</t>
  </si>
  <si>
    <t>734737635043</t>
  </si>
  <si>
    <t>Sunham T500 CVC Printed Queen Sheet S Grey leaves Queen</t>
  </si>
  <si>
    <t>86569263766</t>
  </si>
  <si>
    <t>JLA Home Decor Studio Renwick 70 x 72 Neutral 70X72</t>
  </si>
  <si>
    <t>SWV70-0005H</t>
  </si>
  <si>
    <t>784857909920</t>
  </si>
  <si>
    <t>Idea Nuova Holiday Tree 17-Pc. Bath Set Multi No Size</t>
  </si>
  <si>
    <t>YK699437</t>
  </si>
  <si>
    <t>735732244391</t>
  </si>
  <si>
    <t>VCNY Home Ornament Lines 17-Pc. Holiday Red</t>
  </si>
  <si>
    <t>OL1-BTH-17PC-MA-RED</t>
  </si>
  <si>
    <t>190714335533</t>
  </si>
  <si>
    <t>Lacourte Lois 50 x 60 Decorative Thro Multi 50x60</t>
  </si>
  <si>
    <t>1125437MULTI50X60</t>
  </si>
  <si>
    <t>ACRYLIC/POLYESTER</t>
  </si>
  <si>
    <t>734737615106</t>
  </si>
  <si>
    <t>Sunham Haven Solid 350-Thread Count 4 White Full</t>
  </si>
  <si>
    <t>86569341389</t>
  </si>
  <si>
    <t>JLA Home Robin Mosaic 3pc Bath Accessor Silver No Size</t>
  </si>
  <si>
    <t>MCH71-1678</t>
  </si>
  <si>
    <t>86569341372</t>
  </si>
  <si>
    <t>JLA Home Lily Mosaic 3pc Bath Accessor Silver No Size</t>
  </si>
  <si>
    <t>MCH71-1677</t>
  </si>
  <si>
    <t>734737626416</t>
  </si>
  <si>
    <t>Sunham Sunham Ombre Diamond 21x34 Bat Cream</t>
  </si>
  <si>
    <t>R21255</t>
  </si>
  <si>
    <t>706258615347</t>
  </si>
  <si>
    <t>Martha Stewart Collection Essentials Classic Quilted Ful White Full</t>
  </si>
  <si>
    <t>100058088FU</t>
  </si>
  <si>
    <t>651896635762</t>
  </si>
  <si>
    <t>Morgan Home 2 Pk. Velvet Plush Pillows Yellow 18x18</t>
  </si>
  <si>
    <t>M635762</t>
  </si>
  <si>
    <t>36326473853</t>
  </si>
  <si>
    <t>Saturday Knight Saturday Knight Kate 57 x 28 Blue No Size</t>
  </si>
  <si>
    <t>JABOT16X54</t>
  </si>
  <si>
    <t>706258049210</t>
  </si>
  <si>
    <t>Charter Club Damask Supima Cotton 550-Threa Marina Dark Blue Standard Pillowcases</t>
  </si>
  <si>
    <t>DLDSLSPCMAR</t>
  </si>
  <si>
    <t>21864277001</t>
  </si>
  <si>
    <t>Avanti Bath Towels, Bradford 11 x 18 Linen</t>
  </si>
  <si>
    <t>017894LIN</t>
  </si>
  <si>
    <t>COTTON; EXCLUSIVE OF EMBELLISHMENT</t>
  </si>
  <si>
    <t>766195440693</t>
  </si>
  <si>
    <t>Tommy Hilfiger All American II Cotton Hand To Red Hand Towels</t>
  </si>
  <si>
    <t>079387TH020</t>
  </si>
  <si>
    <t>46249646722</t>
  </si>
  <si>
    <t>Tommy Hilfiger Modern American 13 x 13 Cott Raspberry Washcloths</t>
  </si>
  <si>
    <t>27T0465-WA-R1-D1</t>
  </si>
  <si>
    <t>LT/PAS RED</t>
  </si>
  <si>
    <t>86569499257</t>
  </si>
  <si>
    <t>CLOUD PRINTED CS FQ PINK</t>
  </si>
  <si>
    <t>MCH10-2420</t>
  </si>
  <si>
    <t>735732244360</t>
  </si>
  <si>
    <t>VCNY Home X White</t>
  </si>
  <si>
    <t>CIP-BTH-17PC-MA-WHMU</t>
  </si>
  <si>
    <t>38992010530</t>
  </si>
  <si>
    <t>Waterford Waterford Orla King Comforter BeigeGold</t>
  </si>
  <si>
    <t>CFORLAW33504KG</t>
  </si>
  <si>
    <t>46249612598</t>
  </si>
  <si>
    <t>Tommy Hilfiger Clash of 85 Stripe 3 Piece Kin Multi King</t>
  </si>
  <si>
    <t>17T0233-KG-M1-D1</t>
  </si>
  <si>
    <t>100% COTTON KNIT</t>
  </si>
  <si>
    <t>86569030023</t>
  </si>
  <si>
    <t>Madison Park Madison Park Laetitia KingCal Ivory KingCalifornia King</t>
  </si>
  <si>
    <t>MP10-5874</t>
  </si>
  <si>
    <t>COMFORTER/SHAM - 100% COTTON, COMFORTER FILL - 100% POLYESTER</t>
  </si>
  <si>
    <t>709271377605</t>
  </si>
  <si>
    <t>Calvin Klein Modern Cotton Body King Duvet Gray King</t>
  </si>
  <si>
    <t>141BODY-KG-G1-D2</t>
  </si>
  <si>
    <t>709271479705</t>
  </si>
  <si>
    <t>Calvin Klein Moonstone FullQueen Duvet Set Pebble FullQueen</t>
  </si>
  <si>
    <t>1510197-FQ-G1-D2</t>
  </si>
  <si>
    <t>706255910841</t>
  </si>
  <si>
    <t>Hotel Collection Hotel Collection 525 Thread Co Sea Blue Full</t>
  </si>
  <si>
    <t>5XE3FSS790</t>
  </si>
  <si>
    <t>709271377766</t>
  </si>
  <si>
    <t>Calvin Klein Modern Cotton Body FullQueen Charcoal FullQueen</t>
  </si>
  <si>
    <t>141BODY-FQ-C1-D2</t>
  </si>
  <si>
    <t>732997680995</t>
  </si>
  <si>
    <t>Hotel Collection Hotel Collection 1000 Thread C Ivory Queen</t>
  </si>
  <si>
    <t>100013566QN</t>
  </si>
  <si>
    <t>21166127790</t>
  </si>
  <si>
    <t>Harper Lane Harper Lane Solid Slipcover So Medium Blu Sofa Slipcover</t>
  </si>
  <si>
    <t>12779A</t>
  </si>
  <si>
    <t>UNIVERSAL HOME FASH/WELCOME INDUST</t>
  </si>
  <si>
    <t>POLYESTER,SPANDEX</t>
  </si>
  <si>
    <t>883893629394</t>
  </si>
  <si>
    <t>Stone Cottage Florence FullQueen Duvet Cove Natural FullQueen</t>
  </si>
  <si>
    <t>USHSFN1125812</t>
  </si>
  <si>
    <t>766195506757</t>
  </si>
  <si>
    <t>Tommy Hilfiger Kings Canyon Ombre 12 x 18 Blue 12x18</t>
  </si>
  <si>
    <t>51T1124-OC-B1-D9</t>
  </si>
  <si>
    <t>679610822687</t>
  </si>
  <si>
    <t>Hallmart Collectibles Berrian 12-Pc. Reversible Full Red Full</t>
  </si>
  <si>
    <t>732998123200</t>
  </si>
  <si>
    <t>Hotel Collection Hotel Collection Layered Frame Jade 18x18</t>
  </si>
  <si>
    <t>100% COTTON EXCLUSIVE OF DECORATION</t>
  </si>
  <si>
    <t>86569363473</t>
  </si>
  <si>
    <t>Martha Stewart Collection Martha Stewart Essentials Reve Grey King</t>
  </si>
  <si>
    <t>807709608724</t>
  </si>
  <si>
    <t>Spa 251 Waffle Complete Shower Curtain Green 70X72</t>
  </si>
  <si>
    <t>CSCDLKG</t>
  </si>
  <si>
    <t>675716651312</t>
  </si>
  <si>
    <t>Intelligent Design Trixie Reversible 2-Pc. TwinT TealGrey Twin XL</t>
  </si>
  <si>
    <t>ID10-459</t>
  </si>
  <si>
    <t>FABRIC: POLYESTER; 25-OZ. POLYESTER FILL 85 GSM</t>
  </si>
  <si>
    <t>732997412206</t>
  </si>
  <si>
    <t>Martha Stewart Collection Pumpkin Figural Decorative Pil Orange</t>
  </si>
  <si>
    <t>MARTHA STEWART-MMG/MSLO-THROWS</t>
  </si>
  <si>
    <t>646998692362</t>
  </si>
  <si>
    <t>Martha Stewart Collection Martha Stewart Bellefield Flor Linen 50x84</t>
  </si>
  <si>
    <t>1-20070GLE</t>
  </si>
  <si>
    <t>783048107596</t>
  </si>
  <si>
    <t>Truly Soft Multi Stripe Shower Curtain Grey No Size</t>
  </si>
  <si>
    <t>SC3225-6200</t>
  </si>
  <si>
    <t>86569987426</t>
  </si>
  <si>
    <t>Madison Park Ceres 50 x 84 Twisted Tab To White 50x84</t>
  </si>
  <si>
    <t>MP40-5468</t>
  </si>
  <si>
    <t>800298566079</t>
  </si>
  <si>
    <t>DKNY Modern Bloom 50 x 84 Curtain Blue 50x84</t>
  </si>
  <si>
    <t>WZD788343W0G</t>
  </si>
  <si>
    <t>791551670520</t>
  </si>
  <si>
    <t>Berkshire Classic Velvety Plush FullQue Plaid With Grey FullQueen</t>
  </si>
  <si>
    <t>16534-FQ-UQ4</t>
  </si>
  <si>
    <t>675716996734</t>
  </si>
  <si>
    <t>Intelligent Design Intelligent Design Raina 72 x Blush 72X72</t>
  </si>
  <si>
    <t>ID70-1293</t>
  </si>
  <si>
    <t>29927565751</t>
  </si>
  <si>
    <t>Sun Zero Allegory Abstract Painting 40 Blue 40x95</t>
  </si>
  <si>
    <t>845951063434</t>
  </si>
  <si>
    <t>BSHL007</t>
  </si>
  <si>
    <t>86569377043</t>
  </si>
  <si>
    <t>Martha Stewart Collection Martha Stewart Collection Soft Castlerock King</t>
  </si>
  <si>
    <t>10016635KG</t>
  </si>
  <si>
    <t>679610822618</t>
  </si>
  <si>
    <t>Hallmart Collectibles Ambrosia 3-Pc. Reversible Full Aqua FullQueen</t>
  </si>
  <si>
    <t>735837576380</t>
  </si>
  <si>
    <t>Martha Stewart Collection Martha Stewart Essentials Reve White TwinTwin XL</t>
  </si>
  <si>
    <t>10012459TW</t>
  </si>
  <si>
    <t>29927559804</t>
  </si>
  <si>
    <t>Sun Zero Sun Zero Duran 50 x 63 Textu Grey 50x63</t>
  </si>
  <si>
    <t>29927565133</t>
  </si>
  <si>
    <t>No. 918 No. 918 Fern Embroidered 50 x White 50x63</t>
  </si>
  <si>
    <t>732997452349</t>
  </si>
  <si>
    <t>Martha Stewart Collection Martha Stewart Collection Tuft Grey Standard Sham</t>
  </si>
  <si>
    <t>100064584ST</t>
  </si>
  <si>
    <t>BCP INC/MARTHA STEWART-MMG</t>
  </si>
  <si>
    <t>86569348234</t>
  </si>
  <si>
    <t>JLA Home JLA Home Ciel 72x 72 Shower Aqua No Size</t>
  </si>
  <si>
    <t>MCH70-1687</t>
  </si>
  <si>
    <t>732998379379</t>
  </si>
  <si>
    <t>Charter Club Damask Stripe Cotton 550-Threa White Standard Sham</t>
  </si>
  <si>
    <t>100051414SH</t>
  </si>
  <si>
    <t>91116707570</t>
  </si>
  <si>
    <t>Sanders Printed Microfiber Twin Sheet Hansen Blue Twin</t>
  </si>
  <si>
    <t>PM3SST</t>
  </si>
  <si>
    <t>29927245257</t>
  </si>
  <si>
    <t>No. 918 No. 918 Alison 58 x 32 Rod-P White 58x32</t>
  </si>
  <si>
    <t>25521151048</t>
  </si>
  <si>
    <t>Calvin Klein Signature Density Standard Fir White Standard</t>
  </si>
  <si>
    <t>34299129418</t>
  </si>
  <si>
    <t>Excell Weighted 70 x 72 Shower Curt White</t>
  </si>
  <si>
    <t>1C0-040C0-0921</t>
  </si>
  <si>
    <t>21864317721</t>
  </si>
  <si>
    <t>Avanti Antigua 11 x 18 Fingertip To Ivory Fingertip Towels</t>
  </si>
  <si>
    <t>035714IVR</t>
  </si>
  <si>
    <t>COTTON; EXCLUSIVE OF DECORATION</t>
  </si>
  <si>
    <t>843145118526</t>
  </si>
  <si>
    <t>Chic Home Chic Home Meredith 6 Piece Kin Gray King</t>
  </si>
  <si>
    <t>BCS18526</t>
  </si>
  <si>
    <t>840970172860</t>
  </si>
  <si>
    <t>SW SOLID SS 6PC K GR</t>
  </si>
  <si>
    <t>SWSS6-001-K-GR</t>
  </si>
  <si>
    <t>KING SETS</t>
  </si>
  <si>
    <t>733001947516</t>
  </si>
  <si>
    <t>Hotel Collection Ultimate MicroCotton Herring Vapor Combo No Size</t>
  </si>
  <si>
    <t>816944015242</t>
  </si>
  <si>
    <t>Naturepedic Naturepedic Organic Cotton She Beige Queen</t>
  </si>
  <si>
    <t>S 400 15NAT 4</t>
  </si>
  <si>
    <t>NATUREPEDIC</t>
  </si>
  <si>
    <t>732998006688</t>
  </si>
  <si>
    <t>Hotel Collection CLOSEOUT Hotel Collection Cla White King</t>
  </si>
  <si>
    <t>100078174KG</t>
  </si>
  <si>
    <t>POLYESTER FACE, COTTON BACK</t>
  </si>
  <si>
    <t>675716630317</t>
  </si>
  <si>
    <t>Madison Park Nisha Cotton Sateen 7-Pc. Full Yellow FullQueen</t>
  </si>
  <si>
    <t>MP10-1586</t>
  </si>
  <si>
    <t>COMFORTER/SHAM: COTTON THREAD COUNT: 220 COMFORTER/SHAM: COTTON REVERSE THREAD COUNT: 180COMFORTER: FILL: POLYESTEREUROPEAN SHAM: COTTON THREAD COUNT: 180DECORATIVE PILLOW: ALL COTTON COVER; FILL: POLYESTER</t>
  </si>
  <si>
    <t>800298683516</t>
  </si>
  <si>
    <t>Donna Karan Silk Indulgence King Fitted Sh Platinum King</t>
  </si>
  <si>
    <t>2OC001234AMF</t>
  </si>
  <si>
    <t>90% COTTON/ 10% SILK</t>
  </si>
  <si>
    <t>636202612217</t>
  </si>
  <si>
    <t>Hotel Collection Hotel Collection 525 Thread Co White Twin</t>
  </si>
  <si>
    <t>5XW2TSS790</t>
  </si>
  <si>
    <t>193675000731</t>
  </si>
  <si>
    <t>Better Trends Julian Double Bedspread Blue</t>
  </si>
  <si>
    <t>SS-BSASPDOTL</t>
  </si>
  <si>
    <t>675716510275</t>
  </si>
  <si>
    <t>Madison Park Caelie 6-Pc. Quilted FullQuee Blue Queen</t>
  </si>
  <si>
    <t>MP13-773</t>
  </si>
  <si>
    <t>COVERLET AND SHAMS FACE: MICROFIBER FROM POLYESTER; POLYESTER REVERSE; DECORATIVE PILLOWS: POLYESTER; POLYESTER FILL; COVERLET FILL: COTTON 200 GRAMS PER SQUARE METER</t>
  </si>
  <si>
    <t>41808831106</t>
  </si>
  <si>
    <t>Jessica Simpson Tika Reversible FullQueen Qui Multi Coral And Pinks FullQueen</t>
  </si>
  <si>
    <t>A055615MUNDE</t>
  </si>
  <si>
    <t>732995473476</t>
  </si>
  <si>
    <t>Martha Stewart Collection Star Patchwork Queen Bedspread Ivory Queen</t>
  </si>
  <si>
    <t>100047357QN</t>
  </si>
  <si>
    <t>883893106581</t>
  </si>
  <si>
    <t>Laura Ashley Victoria Beige Sheet Set, King Beige King</t>
  </si>
  <si>
    <t>MADE IN MEXICO</t>
  </si>
  <si>
    <t>100% COTTON FLANNEL</t>
  </si>
  <si>
    <t>732998350293</t>
  </si>
  <si>
    <t>Martha Stewart Collection Valencia Mandala 3-Pc. FullQu Blue FullQueen</t>
  </si>
  <si>
    <t>100081810FQ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</si>
</sst>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u/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C25"/>
  <sheetViews>
    <sheetView tabSelected="1" workbookViewId="0">
      <selection activeCell="B44" sqref="B44"/>
    </sheetView>
  </sheetViews>
  <sheetFormatPr defaultRowHeight="15" x14ac:dyDescent="0.25"/>
  <cols>
    <col min="2" max="2" width="12.5703125" bestFit="1" customWidth="1"/>
  </cols>
  <sheetData>
    <row r="1" spans="1:2" x14ac:dyDescent="0.25">
      <c r="A1" s="1" t="s">
        <v>2341</v>
      </c>
      <c r="B1" s="2" t="s">
        <v>2342</v>
      </c>
    </row>
    <row r="2" spans="1:2" x14ac:dyDescent="0.25">
      <c r="A2" s="3">
        <v>45</v>
      </c>
      <c r="B2" s="4">
        <v>2606.7199999999998</v>
      </c>
    </row>
    <row r="3" spans="1:2" x14ac:dyDescent="0.25">
      <c r="A3" s="3">
        <v>3</v>
      </c>
      <c r="B3" s="4">
        <v>125.97</v>
      </c>
    </row>
    <row r="4" spans="1:2" x14ac:dyDescent="0.25">
      <c r="A4" s="3">
        <v>62</v>
      </c>
      <c r="B4" s="4">
        <v>4024.71</v>
      </c>
    </row>
    <row r="5" spans="1:2" x14ac:dyDescent="0.25">
      <c r="A5" s="3">
        <v>60</v>
      </c>
      <c r="B5" s="4">
        <v>3764.5</v>
      </c>
    </row>
    <row r="6" spans="1:2" x14ac:dyDescent="0.25">
      <c r="A6" s="3">
        <v>61</v>
      </c>
      <c r="B6" s="4">
        <v>4379.5200000000004</v>
      </c>
    </row>
    <row r="7" spans="1:2" x14ac:dyDescent="0.25">
      <c r="A7" s="3">
        <v>74</v>
      </c>
      <c r="B7" s="4">
        <v>3769.5</v>
      </c>
    </row>
    <row r="8" spans="1:2" x14ac:dyDescent="0.25">
      <c r="A8" s="3">
        <v>49</v>
      </c>
      <c r="B8" s="4">
        <v>3564.55</v>
      </c>
    </row>
    <row r="9" spans="1:2" x14ac:dyDescent="0.25">
      <c r="A9" s="3">
        <v>65</v>
      </c>
      <c r="B9" s="4">
        <v>4891.1400000000003</v>
      </c>
    </row>
    <row r="10" spans="1:2" x14ac:dyDescent="0.25">
      <c r="A10" s="3">
        <v>32</v>
      </c>
      <c r="B10" s="4">
        <v>3658.88</v>
      </c>
    </row>
    <row r="11" spans="1:2" x14ac:dyDescent="0.25">
      <c r="A11" s="3">
        <v>31</v>
      </c>
      <c r="B11" s="4">
        <v>2894.69</v>
      </c>
    </row>
    <row r="12" spans="1:2" x14ac:dyDescent="0.25">
      <c r="A12" s="3">
        <v>62</v>
      </c>
      <c r="B12" s="4">
        <v>4092.53</v>
      </c>
    </row>
    <row r="13" spans="1:2" x14ac:dyDescent="0.25">
      <c r="A13" s="3">
        <v>69</v>
      </c>
      <c r="B13" s="4">
        <v>5134.34</v>
      </c>
    </row>
    <row r="14" spans="1:2" x14ac:dyDescent="0.25">
      <c r="A14" s="3">
        <v>72</v>
      </c>
      <c r="B14" s="4">
        <v>4790.49</v>
      </c>
    </row>
    <row r="15" spans="1:2" x14ac:dyDescent="0.25">
      <c r="A15" s="3">
        <v>90</v>
      </c>
      <c r="B15" s="4">
        <v>4579.1000000000004</v>
      </c>
    </row>
    <row r="16" spans="1:2" x14ac:dyDescent="0.25">
      <c r="A16" s="3">
        <v>63</v>
      </c>
      <c r="B16" s="4">
        <v>3626.41</v>
      </c>
    </row>
    <row r="17" spans="1:3" x14ac:dyDescent="0.25">
      <c r="A17" s="3">
        <v>72</v>
      </c>
      <c r="B17" s="4">
        <v>3322.3</v>
      </c>
    </row>
    <row r="18" spans="1:3" x14ac:dyDescent="0.25">
      <c r="A18" s="3">
        <v>86</v>
      </c>
      <c r="B18" s="4">
        <v>6209.63</v>
      </c>
    </row>
    <row r="19" spans="1:3" x14ac:dyDescent="0.25">
      <c r="A19" s="3">
        <v>67</v>
      </c>
      <c r="B19" s="4">
        <v>3223.33</v>
      </c>
    </row>
    <row r="20" spans="1:3" x14ac:dyDescent="0.25">
      <c r="A20" s="3">
        <v>136</v>
      </c>
      <c r="B20" s="4">
        <v>4353.04</v>
      </c>
    </row>
    <row r="21" spans="1:3" x14ac:dyDescent="0.25">
      <c r="A21" s="3">
        <v>101</v>
      </c>
      <c r="B21" s="4">
        <v>6348.55</v>
      </c>
      <c r="C21">
        <v>2</v>
      </c>
    </row>
    <row r="22" spans="1:3" x14ac:dyDescent="0.25">
      <c r="A22" s="3">
        <v>62</v>
      </c>
      <c r="B22" s="4">
        <v>4218.45</v>
      </c>
    </row>
    <row r="23" spans="1:3" x14ac:dyDescent="0.25">
      <c r="A23" s="3">
        <v>91</v>
      </c>
      <c r="B23" s="4">
        <v>3896.36</v>
      </c>
    </row>
    <row r="24" spans="1:3" x14ac:dyDescent="0.25">
      <c r="A24" s="3">
        <v>78</v>
      </c>
      <c r="B24" s="4">
        <v>4504.25</v>
      </c>
    </row>
    <row r="25" spans="1:3" x14ac:dyDescent="0.25">
      <c r="A25" s="1">
        <f>SUM(A2:A24)</f>
        <v>1531</v>
      </c>
      <c r="B25" s="2">
        <f>SUM(B2:B24)</f>
        <v>91978.959999999992</v>
      </c>
    </row>
  </sheetData>
  <phoneticPr fontId="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56"/>
  <sheetViews>
    <sheetView workbookViewId="0">
      <selection activeCell="B44" sqref="B44"/>
    </sheetView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2350</v>
      </c>
      <c r="I1" s="5" t="s">
        <v>2351</v>
      </c>
      <c r="J1" s="5" t="s">
        <v>2352</v>
      </c>
      <c r="K1" s="5" t="s">
        <v>2353</v>
      </c>
      <c r="L1" s="5" t="s">
        <v>2354</v>
      </c>
    </row>
    <row r="2" spans="1:12" ht="39.950000000000003" customHeight="1" x14ac:dyDescent="0.25">
      <c r="A2" s="6" t="s">
        <v>2679</v>
      </c>
      <c r="B2" s="7" t="s">
        <v>2680</v>
      </c>
      <c r="C2" s="8">
        <v>1</v>
      </c>
      <c r="D2" s="9">
        <v>289.99</v>
      </c>
      <c r="E2" s="8" t="s">
        <v>2681</v>
      </c>
      <c r="F2" s="7" t="s">
        <v>2381</v>
      </c>
      <c r="G2" s="10" t="s">
        <v>2356</v>
      </c>
      <c r="H2" s="7" t="s">
        <v>2357</v>
      </c>
      <c r="I2" s="7" t="s">
        <v>2593</v>
      </c>
      <c r="J2" s="7" t="s">
        <v>2363</v>
      </c>
      <c r="K2" s="7"/>
      <c r="L2" s="11" t="str">
        <f>HYPERLINK("http://slimages.macys.com/is/image/MCY/13891271 ")</f>
        <v xml:space="preserve">http://slimages.macys.com/is/image/MCY/13891271 </v>
      </c>
    </row>
    <row r="3" spans="1:12" ht="39.950000000000003" customHeight="1" x14ac:dyDescent="0.25">
      <c r="A3" s="6" t="s">
        <v>1694</v>
      </c>
      <c r="B3" s="7" t="s">
        <v>1695</v>
      </c>
      <c r="C3" s="8">
        <v>1</v>
      </c>
      <c r="D3" s="9">
        <v>225</v>
      </c>
      <c r="E3" s="8" t="s">
        <v>1696</v>
      </c>
      <c r="F3" s="7" t="s">
        <v>2435</v>
      </c>
      <c r="G3" s="10"/>
      <c r="H3" s="7" t="s">
        <v>2369</v>
      </c>
      <c r="I3" s="7" t="s">
        <v>2856</v>
      </c>
      <c r="J3" s="7" t="s">
        <v>2880</v>
      </c>
      <c r="K3" s="7" t="s">
        <v>1697</v>
      </c>
      <c r="L3" s="11" t="str">
        <f>HYPERLINK("http://images.bloomingdales.com/is/image/BLM/10580126 ")</f>
        <v xml:space="preserve">http://images.bloomingdales.com/is/image/BLM/10580126 </v>
      </c>
    </row>
    <row r="4" spans="1:12" ht="39.950000000000003" customHeight="1" x14ac:dyDescent="0.25">
      <c r="A4" s="6" t="s">
        <v>1698</v>
      </c>
      <c r="B4" s="7" t="s">
        <v>1699</v>
      </c>
      <c r="C4" s="8">
        <v>2</v>
      </c>
      <c r="D4" s="9">
        <v>348</v>
      </c>
      <c r="E4" s="8" t="s">
        <v>1700</v>
      </c>
      <c r="F4" s="7" t="s">
        <v>2435</v>
      </c>
      <c r="G4" s="10"/>
      <c r="H4" s="7" t="s">
        <v>2369</v>
      </c>
      <c r="I4" s="7" t="s">
        <v>2856</v>
      </c>
      <c r="J4" s="7" t="s">
        <v>2880</v>
      </c>
      <c r="K4" s="7" t="s">
        <v>1697</v>
      </c>
      <c r="L4" s="11" t="str">
        <f>HYPERLINK("http://images.bloomingdales.com/is/image/BLM/10580126 ")</f>
        <v xml:space="preserve">http://images.bloomingdales.com/is/image/BLM/10580126 </v>
      </c>
    </row>
    <row r="5" spans="1:12" ht="39.950000000000003" customHeight="1" x14ac:dyDescent="0.25">
      <c r="A5" s="6" t="s">
        <v>1701</v>
      </c>
      <c r="B5" s="7" t="s">
        <v>1702</v>
      </c>
      <c r="C5" s="8">
        <v>4</v>
      </c>
      <c r="D5" s="9">
        <v>679.96</v>
      </c>
      <c r="E5" s="8" t="s">
        <v>1703</v>
      </c>
      <c r="F5" s="7" t="s">
        <v>2381</v>
      </c>
      <c r="G5" s="10" t="s">
        <v>2382</v>
      </c>
      <c r="H5" s="7" t="s">
        <v>2383</v>
      </c>
      <c r="I5" s="7" t="s">
        <v>2384</v>
      </c>
      <c r="J5" s="7" t="s">
        <v>2363</v>
      </c>
      <c r="K5" s="7" t="s">
        <v>2371</v>
      </c>
      <c r="L5" s="11" t="str">
        <f>HYPERLINK("http://slimages.macys.com/is/image/MCY/12791354 ")</f>
        <v xml:space="preserve">http://slimages.macys.com/is/image/MCY/12791354 </v>
      </c>
    </row>
    <row r="6" spans="1:12" ht="39.950000000000003" customHeight="1" x14ac:dyDescent="0.25">
      <c r="A6" s="6" t="s">
        <v>1704</v>
      </c>
      <c r="B6" s="7" t="s">
        <v>1705</v>
      </c>
      <c r="C6" s="8">
        <v>1</v>
      </c>
      <c r="D6" s="9">
        <v>89.99</v>
      </c>
      <c r="E6" s="8" t="s">
        <v>1706</v>
      </c>
      <c r="F6" s="7" t="s">
        <v>1707</v>
      </c>
      <c r="G6" s="10"/>
      <c r="H6" s="7" t="s">
        <v>2387</v>
      </c>
      <c r="I6" s="7" t="s">
        <v>1708</v>
      </c>
      <c r="J6" s="7"/>
      <c r="K6" s="7"/>
      <c r="L6" s="11" t="str">
        <f>HYPERLINK("http://slimages.macys.com/is/image/MCY/16958980 ")</f>
        <v xml:space="preserve">http://slimages.macys.com/is/image/MCY/16958980 </v>
      </c>
    </row>
    <row r="7" spans="1:12" ht="39.950000000000003" customHeight="1" x14ac:dyDescent="0.25">
      <c r="A7" s="6" t="s">
        <v>1709</v>
      </c>
      <c r="B7" s="7" t="s">
        <v>1710</v>
      </c>
      <c r="C7" s="8">
        <v>1</v>
      </c>
      <c r="D7" s="9">
        <v>99.99</v>
      </c>
      <c r="E7" s="8" t="s">
        <v>1711</v>
      </c>
      <c r="F7" s="7" t="s">
        <v>2355</v>
      </c>
      <c r="G7" s="10"/>
      <c r="H7" s="7" t="s">
        <v>2535</v>
      </c>
      <c r="I7" s="7" t="s">
        <v>2409</v>
      </c>
      <c r="J7" s="7"/>
      <c r="K7" s="7"/>
      <c r="L7" s="11" t="str">
        <f>HYPERLINK("http://slimages.macys.com/is/image/MCY/17532069 ")</f>
        <v xml:space="preserve">http://slimages.macys.com/is/image/MCY/17532069 </v>
      </c>
    </row>
    <row r="8" spans="1:12" ht="39.950000000000003" customHeight="1" x14ac:dyDescent="0.25">
      <c r="A8" s="6" t="s">
        <v>1712</v>
      </c>
      <c r="B8" s="7" t="s">
        <v>1713</v>
      </c>
      <c r="C8" s="8">
        <v>1</v>
      </c>
      <c r="D8" s="9">
        <v>149.99</v>
      </c>
      <c r="E8" s="8" t="s">
        <v>1714</v>
      </c>
      <c r="F8" s="7" t="s">
        <v>2446</v>
      </c>
      <c r="G8" s="10"/>
      <c r="H8" s="7" t="s">
        <v>2375</v>
      </c>
      <c r="I8" s="7" t="s">
        <v>2376</v>
      </c>
      <c r="J8" s="7" t="s">
        <v>2363</v>
      </c>
      <c r="K8" s="7" t="s">
        <v>2692</v>
      </c>
      <c r="L8" s="11" t="str">
        <f>HYPERLINK("http://slimages.macys.com/is/image/MCY/16633327 ")</f>
        <v xml:space="preserve">http://slimages.macys.com/is/image/MCY/16633327 </v>
      </c>
    </row>
    <row r="9" spans="1:12" ht="39.950000000000003" customHeight="1" x14ac:dyDescent="0.25">
      <c r="A9" s="6" t="s">
        <v>1715</v>
      </c>
      <c r="B9" s="7" t="s">
        <v>1716</v>
      </c>
      <c r="C9" s="8">
        <v>1</v>
      </c>
      <c r="D9" s="9">
        <v>78.11</v>
      </c>
      <c r="E9" s="8" t="s">
        <v>1717</v>
      </c>
      <c r="F9" s="7"/>
      <c r="G9" s="10"/>
      <c r="H9" s="7" t="s">
        <v>2396</v>
      </c>
      <c r="I9" s="7" t="s">
        <v>2397</v>
      </c>
      <c r="J9" s="7" t="s">
        <v>2363</v>
      </c>
      <c r="K9" s="7" t="s">
        <v>2402</v>
      </c>
      <c r="L9" s="11" t="str">
        <f>HYPERLINK("http://slimages.macys.com/is/image/MCY/11607139 ")</f>
        <v xml:space="preserve">http://slimages.macys.com/is/image/MCY/11607139 </v>
      </c>
    </row>
    <row r="10" spans="1:12" ht="39.950000000000003" customHeight="1" x14ac:dyDescent="0.25">
      <c r="A10" s="6" t="s">
        <v>1718</v>
      </c>
      <c r="B10" s="7" t="s">
        <v>1719</v>
      </c>
      <c r="C10" s="8">
        <v>1</v>
      </c>
      <c r="D10" s="9">
        <v>89</v>
      </c>
      <c r="E10" s="8" t="s">
        <v>1720</v>
      </c>
      <c r="F10" s="7" t="s">
        <v>2403</v>
      </c>
      <c r="G10" s="10"/>
      <c r="H10" s="7" t="s">
        <v>2427</v>
      </c>
      <c r="I10" s="7" t="s">
        <v>2724</v>
      </c>
      <c r="J10" s="7" t="s">
        <v>2880</v>
      </c>
      <c r="K10" s="7" t="s">
        <v>2389</v>
      </c>
      <c r="L10" s="11" t="str">
        <f>HYPERLINK("http://images.bloomingdales.com/is/image/BLM/9359319 ")</f>
        <v xml:space="preserve">http://images.bloomingdales.com/is/image/BLM/9359319 </v>
      </c>
    </row>
    <row r="11" spans="1:12" ht="39.950000000000003" customHeight="1" x14ac:dyDescent="0.25">
      <c r="A11" s="6" t="s">
        <v>1721</v>
      </c>
      <c r="B11" s="7" t="s">
        <v>1722</v>
      </c>
      <c r="C11" s="8">
        <v>1</v>
      </c>
      <c r="D11" s="9">
        <v>119.99</v>
      </c>
      <c r="E11" s="8" t="s">
        <v>1723</v>
      </c>
      <c r="F11" s="7" t="s">
        <v>2368</v>
      </c>
      <c r="G11" s="10"/>
      <c r="H11" s="7" t="s">
        <v>2400</v>
      </c>
      <c r="I11" s="7" t="s">
        <v>2411</v>
      </c>
      <c r="J11" s="7" t="s">
        <v>2363</v>
      </c>
      <c r="K11" s="7" t="s">
        <v>1724</v>
      </c>
      <c r="L11" s="11" t="str">
        <f>HYPERLINK("http://slimages.macys.com/is/image/MCY/16143908 ")</f>
        <v xml:space="preserve">http://slimages.macys.com/is/image/MCY/16143908 </v>
      </c>
    </row>
    <row r="12" spans="1:12" ht="39.950000000000003" customHeight="1" x14ac:dyDescent="0.25">
      <c r="A12" s="6" t="s">
        <v>1725</v>
      </c>
      <c r="B12" s="7" t="s">
        <v>1726</v>
      </c>
      <c r="C12" s="8">
        <v>1</v>
      </c>
      <c r="D12" s="9">
        <v>99.99</v>
      </c>
      <c r="E12" s="8" t="s">
        <v>1727</v>
      </c>
      <c r="F12" s="7" t="s">
        <v>2534</v>
      </c>
      <c r="G12" s="10" t="s">
        <v>2596</v>
      </c>
      <c r="H12" s="7" t="s">
        <v>2357</v>
      </c>
      <c r="I12" s="7" t="s">
        <v>2378</v>
      </c>
      <c r="J12" s="7" t="s">
        <v>2363</v>
      </c>
      <c r="K12" s="7" t="s">
        <v>2416</v>
      </c>
      <c r="L12" s="11" t="str">
        <f>HYPERLINK("http://slimages.macys.com/is/image/MCY/8182285 ")</f>
        <v xml:space="preserve">http://slimages.macys.com/is/image/MCY/8182285 </v>
      </c>
    </row>
    <row r="13" spans="1:12" ht="39.950000000000003" customHeight="1" x14ac:dyDescent="0.25">
      <c r="A13" s="6" t="s">
        <v>1728</v>
      </c>
      <c r="B13" s="7" t="s">
        <v>1729</v>
      </c>
      <c r="C13" s="8">
        <v>1</v>
      </c>
      <c r="D13" s="9">
        <v>145</v>
      </c>
      <c r="E13" s="8" t="s">
        <v>1730</v>
      </c>
      <c r="F13" s="7" t="s">
        <v>2355</v>
      </c>
      <c r="G13" s="10" t="s">
        <v>2541</v>
      </c>
      <c r="H13" s="7" t="s">
        <v>2413</v>
      </c>
      <c r="I13" s="7" t="s">
        <v>2850</v>
      </c>
      <c r="J13" s="7" t="s">
        <v>2363</v>
      </c>
      <c r="K13" s="7" t="s">
        <v>1731</v>
      </c>
      <c r="L13" s="11" t="str">
        <f>HYPERLINK("http://images.bloomingdales.com/is/image/BLM/10576092 ")</f>
        <v xml:space="preserve">http://images.bloomingdales.com/is/image/BLM/10576092 </v>
      </c>
    </row>
    <row r="14" spans="1:12" ht="39.950000000000003" customHeight="1" x14ac:dyDescent="0.25">
      <c r="A14" s="6" t="s">
        <v>1471</v>
      </c>
      <c r="B14" s="7" t="s">
        <v>1472</v>
      </c>
      <c r="C14" s="8">
        <v>1</v>
      </c>
      <c r="D14" s="9">
        <v>49.99</v>
      </c>
      <c r="E14" s="8" t="s">
        <v>1473</v>
      </c>
      <c r="F14" s="7" t="s">
        <v>2512</v>
      </c>
      <c r="G14" s="10"/>
      <c r="H14" s="7" t="s">
        <v>2369</v>
      </c>
      <c r="I14" s="7" t="s">
        <v>2370</v>
      </c>
      <c r="J14" s="7" t="s">
        <v>2363</v>
      </c>
      <c r="K14" s="7" t="s">
        <v>2385</v>
      </c>
      <c r="L14" s="11" t="str">
        <f>HYPERLINK("http://slimages.macys.com/is/image/MCY/8347198 ")</f>
        <v xml:space="preserve">http://slimages.macys.com/is/image/MCY/8347198 </v>
      </c>
    </row>
    <row r="15" spans="1:12" ht="39.950000000000003" customHeight="1" x14ac:dyDescent="0.25">
      <c r="A15" s="6" t="s">
        <v>1732</v>
      </c>
      <c r="B15" s="7" t="s">
        <v>1733</v>
      </c>
      <c r="C15" s="8">
        <v>1</v>
      </c>
      <c r="D15" s="9">
        <v>50.99</v>
      </c>
      <c r="E15" s="8">
        <v>17182</v>
      </c>
      <c r="F15" s="7" t="s">
        <v>2355</v>
      </c>
      <c r="G15" s="10" t="s">
        <v>2406</v>
      </c>
      <c r="H15" s="7" t="s">
        <v>2407</v>
      </c>
      <c r="I15" s="7" t="s">
        <v>2542</v>
      </c>
      <c r="J15" s="7" t="s">
        <v>2363</v>
      </c>
      <c r="K15" s="7" t="s">
        <v>2923</v>
      </c>
      <c r="L15" s="11" t="str">
        <f>HYPERLINK("http://slimages.macys.com/is/image/MCY/15617748 ")</f>
        <v xml:space="preserve">http://slimages.macys.com/is/image/MCY/15617748 </v>
      </c>
    </row>
    <row r="16" spans="1:12" ht="39.950000000000003" customHeight="1" x14ac:dyDescent="0.25">
      <c r="A16" s="6" t="s">
        <v>1734</v>
      </c>
      <c r="B16" s="7" t="s">
        <v>1735</v>
      </c>
      <c r="C16" s="8">
        <v>1</v>
      </c>
      <c r="D16" s="9">
        <v>44.99</v>
      </c>
      <c r="E16" s="8" t="s">
        <v>1736</v>
      </c>
      <c r="F16" s="7" t="s">
        <v>2573</v>
      </c>
      <c r="G16" s="10" t="s">
        <v>2426</v>
      </c>
      <c r="H16" s="7" t="s">
        <v>2391</v>
      </c>
      <c r="I16" s="7" t="s">
        <v>1737</v>
      </c>
      <c r="J16" s="7" t="s">
        <v>2363</v>
      </c>
      <c r="K16" s="7" t="s">
        <v>2385</v>
      </c>
      <c r="L16" s="11" t="str">
        <f>HYPERLINK("http://slimages.macys.com/is/image/MCY/10298329 ")</f>
        <v xml:space="preserve">http://slimages.macys.com/is/image/MCY/10298329 </v>
      </c>
    </row>
    <row r="17" spans="1:12" ht="39.950000000000003" customHeight="1" x14ac:dyDescent="0.25">
      <c r="A17" s="6" t="s">
        <v>1647</v>
      </c>
      <c r="B17" s="7" t="s">
        <v>1648</v>
      </c>
      <c r="C17" s="8">
        <v>1</v>
      </c>
      <c r="D17" s="9">
        <v>32.99</v>
      </c>
      <c r="E17" s="8" t="s">
        <v>1649</v>
      </c>
      <c r="F17" s="7" t="s">
        <v>2368</v>
      </c>
      <c r="G17" s="10"/>
      <c r="H17" s="7" t="s">
        <v>2391</v>
      </c>
      <c r="I17" s="7" t="s">
        <v>2515</v>
      </c>
      <c r="J17" s="7" t="s">
        <v>2363</v>
      </c>
      <c r="K17" s="7" t="s">
        <v>2385</v>
      </c>
      <c r="L17" s="11" t="str">
        <f>HYPERLINK("http://slimages.macys.com/is/image/MCY/9170298 ")</f>
        <v xml:space="preserve">http://slimages.macys.com/is/image/MCY/9170298 </v>
      </c>
    </row>
    <row r="18" spans="1:12" ht="39.950000000000003" customHeight="1" x14ac:dyDescent="0.25">
      <c r="A18" s="6" t="s">
        <v>1738</v>
      </c>
      <c r="B18" s="7" t="s">
        <v>1739</v>
      </c>
      <c r="C18" s="8">
        <v>1</v>
      </c>
      <c r="D18" s="9">
        <v>39.99</v>
      </c>
      <c r="E18" s="8" t="s">
        <v>1740</v>
      </c>
      <c r="F18" s="7" t="s">
        <v>2477</v>
      </c>
      <c r="G18" s="10" t="s">
        <v>2450</v>
      </c>
      <c r="H18" s="7" t="s">
        <v>2391</v>
      </c>
      <c r="I18" s="7" t="s">
        <v>2451</v>
      </c>
      <c r="J18" s="7" t="s">
        <v>2452</v>
      </c>
      <c r="K18" s="7" t="s">
        <v>2770</v>
      </c>
      <c r="L18" s="11" t="str">
        <f>HYPERLINK("http://slimages.macys.com/is/image/MCY/16368674 ")</f>
        <v xml:space="preserve">http://slimages.macys.com/is/image/MCY/16368674 </v>
      </c>
    </row>
    <row r="19" spans="1:12" ht="39.950000000000003" customHeight="1" x14ac:dyDescent="0.25">
      <c r="A19" s="6" t="s">
        <v>2551</v>
      </c>
      <c r="B19" s="7" t="s">
        <v>2552</v>
      </c>
      <c r="C19" s="8">
        <v>2</v>
      </c>
      <c r="D19" s="9">
        <v>59.98</v>
      </c>
      <c r="E19" s="8" t="s">
        <v>2553</v>
      </c>
      <c r="F19" s="7" t="s">
        <v>2468</v>
      </c>
      <c r="G19" s="10" t="s">
        <v>2554</v>
      </c>
      <c r="H19" s="7" t="s">
        <v>2413</v>
      </c>
      <c r="I19" s="7" t="s">
        <v>2555</v>
      </c>
      <c r="J19" s="7" t="s">
        <v>2496</v>
      </c>
      <c r="K19" s="7"/>
      <c r="L19" s="11" t="str">
        <f>HYPERLINK("http://slimages.macys.com/is/image/MCY/9526176 ")</f>
        <v xml:space="preserve">http://slimages.macys.com/is/image/MCY/9526176 </v>
      </c>
    </row>
    <row r="20" spans="1:12" ht="39.950000000000003" customHeight="1" x14ac:dyDescent="0.25">
      <c r="A20" s="6" t="s">
        <v>1741</v>
      </c>
      <c r="B20" s="7" t="s">
        <v>1742</v>
      </c>
      <c r="C20" s="8">
        <v>1</v>
      </c>
      <c r="D20" s="9">
        <v>23.99</v>
      </c>
      <c r="E20" s="8">
        <v>3428</v>
      </c>
      <c r="F20" s="7" t="s">
        <v>2355</v>
      </c>
      <c r="G20" s="10"/>
      <c r="H20" s="7" t="s">
        <v>2407</v>
      </c>
      <c r="I20" s="7" t="s">
        <v>2462</v>
      </c>
      <c r="J20" s="7" t="s">
        <v>2363</v>
      </c>
      <c r="K20" s="7" t="s">
        <v>2923</v>
      </c>
      <c r="L20" s="11" t="str">
        <f>HYPERLINK("http://slimages.macys.com/is/image/MCY/16008711 ")</f>
        <v xml:space="preserve">http://slimages.macys.com/is/image/MCY/16008711 </v>
      </c>
    </row>
    <row r="21" spans="1:12" ht="39.950000000000003" customHeight="1" x14ac:dyDescent="0.25">
      <c r="A21" s="6" t="s">
        <v>1743</v>
      </c>
      <c r="B21" s="7" t="s">
        <v>2698</v>
      </c>
      <c r="C21" s="8">
        <v>1</v>
      </c>
      <c r="D21" s="9">
        <v>14.99</v>
      </c>
      <c r="E21" s="8" t="s">
        <v>1744</v>
      </c>
      <c r="F21" s="7" t="s">
        <v>2468</v>
      </c>
      <c r="G21" s="10" t="s">
        <v>2469</v>
      </c>
      <c r="H21" s="7" t="s">
        <v>2532</v>
      </c>
      <c r="I21" s="7" t="s">
        <v>2699</v>
      </c>
      <c r="J21" s="7"/>
      <c r="K21" s="7"/>
      <c r="L21" s="11" t="str">
        <f>HYPERLINK("http://slimages.macys.com/is/image/MCY/17719639 ")</f>
        <v xml:space="preserve">http://slimages.macys.com/is/image/MCY/17719639 </v>
      </c>
    </row>
    <row r="22" spans="1:12" ht="39.950000000000003" customHeight="1" x14ac:dyDescent="0.25">
      <c r="A22" s="6" t="s">
        <v>1745</v>
      </c>
      <c r="B22" s="7" t="s">
        <v>1746</v>
      </c>
      <c r="C22" s="8">
        <v>1</v>
      </c>
      <c r="D22" s="9">
        <v>60</v>
      </c>
      <c r="E22" s="8" t="s">
        <v>1747</v>
      </c>
      <c r="F22" s="7" t="s">
        <v>2495</v>
      </c>
      <c r="G22" s="10"/>
      <c r="H22" s="7" t="s">
        <v>2486</v>
      </c>
      <c r="I22" s="7" t="s">
        <v>2728</v>
      </c>
      <c r="J22" s="7" t="s">
        <v>2740</v>
      </c>
      <c r="K22" s="7" t="s">
        <v>1748</v>
      </c>
      <c r="L22" s="11" t="str">
        <f>HYPERLINK("http://images.bloomingdales.com/is/image/BLM/10151531 ")</f>
        <v xml:space="preserve">http://images.bloomingdales.com/is/image/BLM/10151531 </v>
      </c>
    </row>
    <row r="23" spans="1:12" ht="39.950000000000003" customHeight="1" x14ac:dyDescent="0.25">
      <c r="A23" s="6" t="s">
        <v>1749</v>
      </c>
      <c r="B23" s="7" t="s">
        <v>1750</v>
      </c>
      <c r="C23" s="8">
        <v>1</v>
      </c>
      <c r="D23" s="9">
        <v>15.99</v>
      </c>
      <c r="E23" s="8" t="s">
        <v>1751</v>
      </c>
      <c r="F23" s="7" t="s">
        <v>2355</v>
      </c>
      <c r="G23" s="10" t="s">
        <v>2469</v>
      </c>
      <c r="H23" s="7" t="s">
        <v>2407</v>
      </c>
      <c r="I23" s="7" t="s">
        <v>2678</v>
      </c>
      <c r="J23" s="7" t="s">
        <v>2795</v>
      </c>
      <c r="K23" s="7" t="s">
        <v>2813</v>
      </c>
      <c r="L23" s="11" t="str">
        <f>HYPERLINK("http://slimages.macys.com/is/image/MCY/16541158 ")</f>
        <v xml:space="preserve">http://slimages.macys.com/is/image/MCY/16541158 </v>
      </c>
    </row>
    <row r="24" spans="1:12" ht="39.950000000000003" customHeight="1" x14ac:dyDescent="0.25">
      <c r="A24" s="6" t="s">
        <v>1419</v>
      </c>
      <c r="B24" s="7" t="s">
        <v>1420</v>
      </c>
      <c r="C24" s="8">
        <v>1</v>
      </c>
      <c r="D24" s="9">
        <v>9.99</v>
      </c>
      <c r="E24" s="8" t="s">
        <v>1421</v>
      </c>
      <c r="F24" s="7" t="s">
        <v>2355</v>
      </c>
      <c r="G24" s="10" t="s">
        <v>2539</v>
      </c>
      <c r="H24" s="7" t="s">
        <v>2407</v>
      </c>
      <c r="I24" s="7" t="s">
        <v>1422</v>
      </c>
      <c r="J24" s="7" t="s">
        <v>2452</v>
      </c>
      <c r="K24" s="7" t="s">
        <v>1423</v>
      </c>
      <c r="L24" s="11" t="str">
        <f>HYPERLINK("http://slimages.macys.com/is/image/MCY/12741094 ")</f>
        <v xml:space="preserve">http://slimages.macys.com/is/image/MCY/12741094 </v>
      </c>
    </row>
    <row r="25" spans="1:12" ht="39.950000000000003" customHeight="1" x14ac:dyDescent="0.25">
      <c r="A25" s="6" t="s">
        <v>1752</v>
      </c>
      <c r="B25" s="7" t="s">
        <v>1753</v>
      </c>
      <c r="C25" s="8">
        <v>1</v>
      </c>
      <c r="D25" s="9">
        <v>690</v>
      </c>
      <c r="E25" s="8" t="s">
        <v>1754</v>
      </c>
      <c r="F25" s="7" t="s">
        <v>2355</v>
      </c>
      <c r="G25" s="10"/>
      <c r="H25" s="7" t="s">
        <v>2545</v>
      </c>
      <c r="I25" s="7" t="s">
        <v>1755</v>
      </c>
      <c r="J25" s="7"/>
      <c r="K25" s="7"/>
      <c r="L25" s="11"/>
    </row>
    <row r="26" spans="1:12" ht="39.950000000000003" customHeight="1" x14ac:dyDescent="0.25">
      <c r="A26" s="6" t="s">
        <v>2466</v>
      </c>
      <c r="B26" s="7" t="s">
        <v>2467</v>
      </c>
      <c r="C26" s="8">
        <v>1</v>
      </c>
      <c r="D26" s="9">
        <v>40</v>
      </c>
      <c r="E26" s="8"/>
      <c r="F26" s="7" t="s">
        <v>2468</v>
      </c>
      <c r="G26" s="10" t="s">
        <v>2469</v>
      </c>
      <c r="H26" s="7" t="s">
        <v>2470</v>
      </c>
      <c r="I26" s="7" t="s">
        <v>2471</v>
      </c>
      <c r="J26" s="7"/>
      <c r="K26" s="7"/>
      <c r="L26" s="11"/>
    </row>
    <row r="27" spans="1:12" ht="39.950000000000003" customHeight="1" x14ac:dyDescent="0.25">
      <c r="A27" s="6" t="s">
        <v>1756</v>
      </c>
      <c r="B27" s="7" t="s">
        <v>1757</v>
      </c>
      <c r="C27" s="8">
        <v>1</v>
      </c>
      <c r="D27" s="9">
        <v>69.989999999999995</v>
      </c>
      <c r="E27" s="8" t="s">
        <v>1758</v>
      </c>
      <c r="F27" s="7" t="s">
        <v>2390</v>
      </c>
      <c r="G27" s="10" t="s">
        <v>1759</v>
      </c>
      <c r="H27" s="7" t="s">
        <v>2369</v>
      </c>
      <c r="I27" s="7" t="s">
        <v>1760</v>
      </c>
      <c r="J27" s="7"/>
      <c r="K27" s="7"/>
      <c r="L27" s="11"/>
    </row>
    <row r="28" spans="1:12" ht="39.950000000000003" customHeight="1" x14ac:dyDescent="0.25">
      <c r="A28" s="6" t="s">
        <v>1761</v>
      </c>
      <c r="B28" s="7" t="s">
        <v>1762</v>
      </c>
      <c r="C28" s="8">
        <v>1</v>
      </c>
      <c r="D28" s="9">
        <v>39.99</v>
      </c>
      <c r="E28" s="8" t="s">
        <v>1763</v>
      </c>
      <c r="F28" s="7" t="s">
        <v>2355</v>
      </c>
      <c r="G28" s="10"/>
      <c r="H28" s="7" t="s">
        <v>2447</v>
      </c>
      <c r="I28" s="7" t="s">
        <v>1764</v>
      </c>
      <c r="J28" s="7"/>
      <c r="K28" s="7"/>
      <c r="L28" s="11"/>
    </row>
    <row r="29" spans="1:12" ht="39.950000000000003" customHeight="1" x14ac:dyDescent="0.25">
      <c r="A29" s="6"/>
      <c r="B29" s="7"/>
      <c r="C29" s="8"/>
      <c r="D29" s="9"/>
      <c r="E29" s="8"/>
      <c r="F29" s="7"/>
      <c r="G29" s="10"/>
      <c r="H29" s="7"/>
      <c r="I29" s="7"/>
      <c r="J29" s="7"/>
      <c r="K29" s="7"/>
      <c r="L29" s="11"/>
    </row>
    <row r="30" spans="1:12" ht="39.950000000000003" customHeight="1" x14ac:dyDescent="0.25">
      <c r="A30" s="6"/>
      <c r="B30" s="7"/>
      <c r="C30" s="8"/>
      <c r="D30" s="9"/>
      <c r="E30" s="8"/>
      <c r="F30" s="7"/>
      <c r="G30" s="10"/>
      <c r="H30" s="7"/>
      <c r="I30" s="7"/>
      <c r="J30" s="7"/>
      <c r="K30" s="7"/>
      <c r="L30" s="11"/>
    </row>
    <row r="31" spans="1:12" ht="39.950000000000003" customHeight="1" x14ac:dyDescent="0.25">
      <c r="A31" s="6"/>
      <c r="B31" s="7"/>
      <c r="C31" s="8"/>
      <c r="D31" s="9"/>
      <c r="E31" s="8"/>
      <c r="F31" s="7"/>
      <c r="G31" s="10"/>
      <c r="H31" s="7"/>
      <c r="I31" s="7"/>
      <c r="J31" s="7"/>
      <c r="K31" s="7"/>
      <c r="L31" s="11"/>
    </row>
    <row r="32" spans="1:12" ht="39.950000000000003" customHeight="1" x14ac:dyDescent="0.25">
      <c r="A32" s="6"/>
      <c r="B32" s="7"/>
      <c r="C32" s="8"/>
      <c r="D32" s="9"/>
      <c r="E32" s="8"/>
      <c r="F32" s="7"/>
      <c r="G32" s="10"/>
      <c r="H32" s="7"/>
      <c r="I32" s="7"/>
      <c r="J32" s="7"/>
      <c r="K32" s="7"/>
      <c r="L32" s="11"/>
    </row>
    <row r="33" spans="1:12" ht="39.950000000000003" customHeight="1" x14ac:dyDescent="0.25">
      <c r="A33" s="6"/>
      <c r="B33" s="7"/>
      <c r="C33" s="8"/>
      <c r="D33" s="9"/>
      <c r="E33" s="8"/>
      <c r="F33" s="7"/>
      <c r="G33" s="10"/>
      <c r="H33" s="7"/>
      <c r="I33" s="7"/>
      <c r="J33" s="7"/>
      <c r="K33" s="7"/>
      <c r="L33" s="11"/>
    </row>
    <row r="34" spans="1:12" ht="39.950000000000003" customHeight="1" x14ac:dyDescent="0.25">
      <c r="A34" s="6"/>
      <c r="B34" s="7"/>
      <c r="C34" s="8"/>
      <c r="D34" s="9"/>
      <c r="E34" s="8"/>
      <c r="F34" s="7"/>
      <c r="G34" s="10"/>
      <c r="H34" s="7"/>
      <c r="I34" s="7"/>
      <c r="J34" s="7"/>
      <c r="K34" s="7"/>
      <c r="L34" s="11"/>
    </row>
    <row r="35" spans="1:12" ht="39.950000000000003" customHeight="1" x14ac:dyDescent="0.25">
      <c r="A35" s="6"/>
      <c r="B35" s="7"/>
      <c r="C35" s="8"/>
      <c r="D35" s="9"/>
      <c r="E35" s="8"/>
      <c r="F35" s="7"/>
      <c r="G35" s="10"/>
      <c r="H35" s="7"/>
      <c r="I35" s="7"/>
      <c r="J35" s="7"/>
      <c r="K35" s="7"/>
      <c r="L35" s="11"/>
    </row>
    <row r="36" spans="1:12" ht="39.950000000000003" customHeight="1" x14ac:dyDescent="0.25">
      <c r="A36" s="6"/>
      <c r="B36" s="7"/>
      <c r="C36" s="8"/>
      <c r="D36" s="9"/>
      <c r="E36" s="8"/>
      <c r="F36" s="7"/>
      <c r="G36" s="10"/>
      <c r="H36" s="7"/>
      <c r="I36" s="7"/>
      <c r="J36" s="7"/>
      <c r="K36" s="7"/>
      <c r="L36" s="11"/>
    </row>
    <row r="37" spans="1:12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80"/>
  <sheetViews>
    <sheetView workbookViewId="0">
      <selection activeCell="B44" sqref="B44"/>
    </sheetView>
  </sheetViews>
  <sheetFormatPr defaultRowHeight="39.950000000000003" customHeight="1" x14ac:dyDescent="0.25"/>
  <cols>
    <col min="1" max="1" width="14.28515625" customWidth="1"/>
    <col min="2" max="2" width="46.8554687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6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2350</v>
      </c>
      <c r="I1" s="5" t="s">
        <v>2351</v>
      </c>
      <c r="J1" s="5" t="s">
        <v>2352</v>
      </c>
      <c r="K1" s="5" t="s">
        <v>2353</v>
      </c>
      <c r="L1" s="5" t="s">
        <v>2354</v>
      </c>
    </row>
    <row r="2" spans="1:12" ht="24.75" x14ac:dyDescent="0.25">
      <c r="A2" s="6" t="s">
        <v>1886</v>
      </c>
      <c r="B2" s="7" t="s">
        <v>1887</v>
      </c>
      <c r="C2" s="8">
        <v>1</v>
      </c>
      <c r="D2" s="9">
        <v>249.99</v>
      </c>
      <c r="E2" s="8" t="s">
        <v>1888</v>
      </c>
      <c r="F2" s="7" t="s">
        <v>2386</v>
      </c>
      <c r="G2" s="10"/>
      <c r="H2" s="7" t="s">
        <v>2383</v>
      </c>
      <c r="I2" s="7" t="s">
        <v>2384</v>
      </c>
      <c r="J2" s="7" t="s">
        <v>2363</v>
      </c>
      <c r="K2" s="7" t="s">
        <v>2793</v>
      </c>
      <c r="L2" s="11" t="str">
        <f>HYPERLINK("http://slimages.macys.com/is/image/MCY/2567151 ")</f>
        <v xml:space="preserve">http://slimages.macys.com/is/image/MCY/2567151 </v>
      </c>
    </row>
    <row r="3" spans="1:12" ht="24.75" x14ac:dyDescent="0.25">
      <c r="A3" s="6" t="s">
        <v>1889</v>
      </c>
      <c r="B3" s="7" t="s">
        <v>1890</v>
      </c>
      <c r="C3" s="8">
        <v>1</v>
      </c>
      <c r="D3" s="9">
        <v>199.99</v>
      </c>
      <c r="E3" s="8" t="s">
        <v>1891</v>
      </c>
      <c r="F3" s="7" t="s">
        <v>2355</v>
      </c>
      <c r="G3" s="10" t="s">
        <v>2373</v>
      </c>
      <c r="H3" s="7" t="s">
        <v>2383</v>
      </c>
      <c r="I3" s="7" t="s">
        <v>2849</v>
      </c>
      <c r="J3" s="7" t="s">
        <v>2363</v>
      </c>
      <c r="K3" s="7" t="s">
        <v>2389</v>
      </c>
      <c r="L3" s="11" t="str">
        <f>HYPERLINK("http://slimages.macys.com/is/image/MCY/16079533 ")</f>
        <v xml:space="preserve">http://slimages.macys.com/is/image/MCY/16079533 </v>
      </c>
    </row>
    <row r="4" spans="1:12" ht="60.75" x14ac:dyDescent="0.25">
      <c r="A4" s="6" t="s">
        <v>2991</v>
      </c>
      <c r="B4" s="7" t="s">
        <v>2992</v>
      </c>
      <c r="C4" s="8">
        <v>1</v>
      </c>
      <c r="D4" s="9">
        <v>279.99</v>
      </c>
      <c r="E4" s="8" t="s">
        <v>2993</v>
      </c>
      <c r="F4" s="7" t="s">
        <v>2362</v>
      </c>
      <c r="G4" s="10"/>
      <c r="H4" s="7" t="s">
        <v>2357</v>
      </c>
      <c r="I4" s="7" t="s">
        <v>2593</v>
      </c>
      <c r="J4" s="7" t="s">
        <v>2363</v>
      </c>
      <c r="K4" s="7" t="s">
        <v>2994</v>
      </c>
      <c r="L4" s="11" t="str">
        <f>HYPERLINK("http://slimages.macys.com/is/image/MCY/15767044 ")</f>
        <v xml:space="preserve">http://slimages.macys.com/is/image/MCY/15767044 </v>
      </c>
    </row>
    <row r="5" spans="1:12" ht="24.75" x14ac:dyDescent="0.25">
      <c r="A5" s="6" t="s">
        <v>1892</v>
      </c>
      <c r="B5" s="7" t="s">
        <v>1893</v>
      </c>
      <c r="C5" s="8">
        <v>1</v>
      </c>
      <c r="D5" s="9">
        <v>299.99</v>
      </c>
      <c r="E5" s="8" t="s">
        <v>1894</v>
      </c>
      <c r="F5" s="7" t="s">
        <v>2355</v>
      </c>
      <c r="G5" s="10"/>
      <c r="H5" s="7" t="s">
        <v>2357</v>
      </c>
      <c r="I5" s="7" t="s">
        <v>2380</v>
      </c>
      <c r="J5" s="7"/>
      <c r="K5" s="7"/>
      <c r="L5" s="11" t="str">
        <f>HYPERLINK("http://slimages.macys.com/is/image/MCY/18289943 ")</f>
        <v xml:space="preserve">http://slimages.macys.com/is/image/MCY/18289943 </v>
      </c>
    </row>
    <row r="6" spans="1:12" ht="108.75" x14ac:dyDescent="0.25">
      <c r="A6" s="6" t="s">
        <v>1895</v>
      </c>
      <c r="B6" s="7" t="s">
        <v>1896</v>
      </c>
      <c r="C6" s="8">
        <v>1</v>
      </c>
      <c r="D6" s="9">
        <v>179.99</v>
      </c>
      <c r="E6" s="8">
        <v>81392</v>
      </c>
      <c r="F6" s="7" t="s">
        <v>2505</v>
      </c>
      <c r="G6" s="10"/>
      <c r="H6" s="7" t="s">
        <v>2369</v>
      </c>
      <c r="I6" s="7" t="s">
        <v>3015</v>
      </c>
      <c r="J6" s="7" t="s">
        <v>2363</v>
      </c>
      <c r="K6" s="7" t="s">
        <v>1897</v>
      </c>
      <c r="L6" s="11" t="str">
        <f>HYPERLINK("http://slimages.macys.com/is/image/MCY/14789644 ")</f>
        <v xml:space="preserve">http://slimages.macys.com/is/image/MCY/14789644 </v>
      </c>
    </row>
    <row r="7" spans="1:12" ht="36.75" x14ac:dyDescent="0.25">
      <c r="A7" s="6" t="s">
        <v>1898</v>
      </c>
      <c r="B7" s="7" t="s">
        <v>1899</v>
      </c>
      <c r="C7" s="8">
        <v>1</v>
      </c>
      <c r="D7" s="9">
        <v>159.99</v>
      </c>
      <c r="E7" s="8" t="s">
        <v>1900</v>
      </c>
      <c r="F7" s="7" t="s">
        <v>2355</v>
      </c>
      <c r="G7" s="10" t="s">
        <v>2410</v>
      </c>
      <c r="H7" s="7" t="s">
        <v>2545</v>
      </c>
      <c r="I7" s="7" t="s">
        <v>2414</v>
      </c>
      <c r="J7" s="7" t="s">
        <v>2363</v>
      </c>
      <c r="K7" s="7" t="s">
        <v>2702</v>
      </c>
      <c r="L7" s="11" t="str">
        <f>HYPERLINK("http://slimages.macys.com/is/image/MCY/11935772 ")</f>
        <v xml:space="preserve">http://slimages.macys.com/is/image/MCY/11935772 </v>
      </c>
    </row>
    <row r="8" spans="1:12" ht="24.75" x14ac:dyDescent="0.25">
      <c r="A8" s="6" t="s">
        <v>2754</v>
      </c>
      <c r="B8" s="7" t="s">
        <v>2755</v>
      </c>
      <c r="C8" s="8">
        <v>1</v>
      </c>
      <c r="D8" s="9">
        <v>109.99</v>
      </c>
      <c r="E8" s="8" t="s">
        <v>2756</v>
      </c>
      <c r="F8" s="7"/>
      <c r="G8" s="10"/>
      <c r="H8" s="7" t="s">
        <v>2369</v>
      </c>
      <c r="I8" s="7" t="s">
        <v>2409</v>
      </c>
      <c r="J8" s="7"/>
      <c r="K8" s="7"/>
      <c r="L8" s="11" t="str">
        <f>HYPERLINK("http://slimages.macys.com/is/image/MCY/17900439 ")</f>
        <v xml:space="preserve">http://slimages.macys.com/is/image/MCY/17900439 </v>
      </c>
    </row>
    <row r="9" spans="1:12" ht="24.75" x14ac:dyDescent="0.25">
      <c r="A9" s="6" t="s">
        <v>1901</v>
      </c>
      <c r="B9" s="7" t="s">
        <v>1902</v>
      </c>
      <c r="C9" s="8">
        <v>1</v>
      </c>
      <c r="D9" s="9">
        <v>99.99</v>
      </c>
      <c r="E9" s="8" t="s">
        <v>1903</v>
      </c>
      <c r="F9" s="7" t="s">
        <v>2362</v>
      </c>
      <c r="G9" s="10"/>
      <c r="H9" s="7" t="s">
        <v>2486</v>
      </c>
      <c r="I9" s="7" t="s">
        <v>2487</v>
      </c>
      <c r="J9" s="7"/>
      <c r="K9" s="7"/>
      <c r="L9" s="11" t="str">
        <f>HYPERLINK("http://slimages.macys.com/is/image/MCY/17662624 ")</f>
        <v xml:space="preserve">http://slimages.macys.com/is/image/MCY/17662624 </v>
      </c>
    </row>
    <row r="10" spans="1:12" ht="36.75" x14ac:dyDescent="0.25">
      <c r="A10" s="6" t="s">
        <v>1904</v>
      </c>
      <c r="B10" s="7" t="s">
        <v>1905</v>
      </c>
      <c r="C10" s="8">
        <v>1</v>
      </c>
      <c r="D10" s="9">
        <v>99.99</v>
      </c>
      <c r="E10" s="8" t="s">
        <v>1906</v>
      </c>
      <c r="F10" s="7" t="s">
        <v>2355</v>
      </c>
      <c r="G10" s="10"/>
      <c r="H10" s="7" t="s">
        <v>2545</v>
      </c>
      <c r="I10" s="7" t="s">
        <v>1907</v>
      </c>
      <c r="J10" s="7"/>
      <c r="K10" s="7"/>
      <c r="L10" s="11" t="str">
        <f>HYPERLINK("http://slimages.macys.com/is/image/MCY/17594680 ")</f>
        <v xml:space="preserve">http://slimages.macys.com/is/image/MCY/17594680 </v>
      </c>
    </row>
    <row r="11" spans="1:12" ht="24.75" x14ac:dyDescent="0.25">
      <c r="A11" s="6" t="s">
        <v>1908</v>
      </c>
      <c r="B11" s="7" t="s">
        <v>1909</v>
      </c>
      <c r="C11" s="8">
        <v>1</v>
      </c>
      <c r="D11" s="9">
        <v>109.99</v>
      </c>
      <c r="E11" s="8" t="s">
        <v>1910</v>
      </c>
      <c r="F11" s="7" t="s">
        <v>2355</v>
      </c>
      <c r="G11" s="10"/>
      <c r="H11" s="7" t="s">
        <v>2535</v>
      </c>
      <c r="I11" s="7" t="s">
        <v>3043</v>
      </c>
      <c r="J11" s="7" t="s">
        <v>2363</v>
      </c>
      <c r="K11" s="7" t="s">
        <v>2782</v>
      </c>
      <c r="L11" s="11" t="str">
        <f>HYPERLINK("http://slimages.macys.com/is/image/MCY/15144360 ")</f>
        <v xml:space="preserve">http://slimages.macys.com/is/image/MCY/15144360 </v>
      </c>
    </row>
    <row r="12" spans="1:12" ht="24.75" x14ac:dyDescent="0.25">
      <c r="A12" s="6" t="s">
        <v>1911</v>
      </c>
      <c r="B12" s="7" t="s">
        <v>1912</v>
      </c>
      <c r="C12" s="8">
        <v>1</v>
      </c>
      <c r="D12" s="9">
        <v>119.99</v>
      </c>
      <c r="E12" s="8" t="s">
        <v>1913</v>
      </c>
      <c r="F12" s="7" t="s">
        <v>2538</v>
      </c>
      <c r="G12" s="10"/>
      <c r="H12" s="7" t="s">
        <v>2400</v>
      </c>
      <c r="I12" s="7" t="s">
        <v>2401</v>
      </c>
      <c r="J12" s="7"/>
      <c r="K12" s="7"/>
      <c r="L12" s="11" t="str">
        <f>HYPERLINK("http://slimages.macys.com/is/image/MCY/18610869 ")</f>
        <v xml:space="preserve">http://slimages.macys.com/is/image/MCY/18610869 </v>
      </c>
    </row>
    <row r="13" spans="1:12" ht="72.75" x14ac:dyDescent="0.25">
      <c r="A13" s="6" t="s">
        <v>1914</v>
      </c>
      <c r="B13" s="7" t="s">
        <v>1915</v>
      </c>
      <c r="C13" s="8">
        <v>1</v>
      </c>
      <c r="D13" s="9">
        <v>79.989999999999995</v>
      </c>
      <c r="E13" s="8" t="s">
        <v>1916</v>
      </c>
      <c r="F13" s="7" t="s">
        <v>2355</v>
      </c>
      <c r="G13" s="10" t="s">
        <v>2541</v>
      </c>
      <c r="H13" s="7" t="s">
        <v>2407</v>
      </c>
      <c r="I13" s="7" t="s">
        <v>2620</v>
      </c>
      <c r="J13" s="7" t="s">
        <v>2460</v>
      </c>
      <c r="K13" s="7" t="s">
        <v>1917</v>
      </c>
      <c r="L13" s="11" t="str">
        <f>HYPERLINK("http://slimages.macys.com/is/image/MCY/11798190 ")</f>
        <v xml:space="preserve">http://slimages.macys.com/is/image/MCY/11798190 </v>
      </c>
    </row>
    <row r="14" spans="1:12" ht="24.75" x14ac:dyDescent="0.25">
      <c r="A14" s="6" t="s">
        <v>2626</v>
      </c>
      <c r="B14" s="7" t="s">
        <v>2627</v>
      </c>
      <c r="C14" s="8">
        <v>1</v>
      </c>
      <c r="D14" s="9">
        <v>59.99</v>
      </c>
      <c r="E14" s="8">
        <v>21477222</v>
      </c>
      <c r="F14" s="7" t="s">
        <v>2495</v>
      </c>
      <c r="G14" s="10"/>
      <c r="H14" s="7" t="s">
        <v>2369</v>
      </c>
      <c r="I14" s="7" t="s">
        <v>2370</v>
      </c>
      <c r="J14" s="7" t="s">
        <v>2363</v>
      </c>
      <c r="K14" s="7" t="s">
        <v>2385</v>
      </c>
      <c r="L14" s="11" t="str">
        <f>HYPERLINK("http://slimages.macys.com/is/image/MCY/15396155 ")</f>
        <v xml:space="preserve">http://slimages.macys.com/is/image/MCY/15396155 </v>
      </c>
    </row>
    <row r="15" spans="1:12" ht="24.75" x14ac:dyDescent="0.25">
      <c r="A15" s="6" t="s">
        <v>1918</v>
      </c>
      <c r="B15" s="7" t="s">
        <v>1919</v>
      </c>
      <c r="C15" s="8">
        <v>1</v>
      </c>
      <c r="D15" s="9">
        <v>39.99</v>
      </c>
      <c r="E15" s="8">
        <v>19352232</v>
      </c>
      <c r="F15" s="7" t="s">
        <v>2495</v>
      </c>
      <c r="G15" s="10"/>
      <c r="H15" s="7" t="s">
        <v>2387</v>
      </c>
      <c r="I15" s="7" t="s">
        <v>2370</v>
      </c>
      <c r="J15" s="7" t="s">
        <v>2363</v>
      </c>
      <c r="K15" s="7"/>
      <c r="L15" s="11" t="str">
        <f>HYPERLINK("http://slimages.macys.com/is/image/MCY/10010890 ")</f>
        <v xml:space="preserve">http://slimages.macys.com/is/image/MCY/10010890 </v>
      </c>
    </row>
    <row r="16" spans="1:12" ht="24.75" x14ac:dyDescent="0.25">
      <c r="A16" s="6" t="s">
        <v>1920</v>
      </c>
      <c r="B16" s="7" t="s">
        <v>1921</v>
      </c>
      <c r="C16" s="8">
        <v>1</v>
      </c>
      <c r="D16" s="9">
        <v>49.99</v>
      </c>
      <c r="E16" s="8" t="s">
        <v>1922</v>
      </c>
      <c r="F16" s="7" t="s">
        <v>2355</v>
      </c>
      <c r="G16" s="10"/>
      <c r="H16" s="7" t="s">
        <v>2369</v>
      </c>
      <c r="I16" s="7" t="s">
        <v>2370</v>
      </c>
      <c r="J16" s="7" t="s">
        <v>2363</v>
      </c>
      <c r="K16" s="7" t="s">
        <v>2513</v>
      </c>
      <c r="L16" s="11" t="str">
        <f>HYPERLINK("http://slimages.macys.com/is/image/MCY/9330026 ")</f>
        <v xml:space="preserve">http://slimages.macys.com/is/image/MCY/9330026 </v>
      </c>
    </row>
    <row r="17" spans="1:12" ht="24.75" x14ac:dyDescent="0.25">
      <c r="A17" s="6" t="s">
        <v>1923</v>
      </c>
      <c r="B17" s="7" t="s">
        <v>1924</v>
      </c>
      <c r="C17" s="8">
        <v>1</v>
      </c>
      <c r="D17" s="9">
        <v>59.99</v>
      </c>
      <c r="E17" s="8" t="s">
        <v>1925</v>
      </c>
      <c r="F17" s="7" t="s">
        <v>2722</v>
      </c>
      <c r="G17" s="10"/>
      <c r="H17" s="7" t="s">
        <v>2486</v>
      </c>
      <c r="I17" s="7" t="s">
        <v>2585</v>
      </c>
      <c r="J17" s="7" t="s">
        <v>2363</v>
      </c>
      <c r="K17" s="7" t="s">
        <v>2402</v>
      </c>
      <c r="L17" s="11" t="str">
        <f>HYPERLINK("http://slimages.macys.com/is/image/MCY/13949182 ")</f>
        <v xml:space="preserve">http://slimages.macys.com/is/image/MCY/13949182 </v>
      </c>
    </row>
    <row r="18" spans="1:12" ht="48.75" x14ac:dyDescent="0.25">
      <c r="A18" s="6" t="s">
        <v>1926</v>
      </c>
      <c r="B18" s="7" t="s">
        <v>1927</v>
      </c>
      <c r="C18" s="8">
        <v>1</v>
      </c>
      <c r="D18" s="9">
        <v>69.989999999999995</v>
      </c>
      <c r="E18" s="8" t="s">
        <v>1928</v>
      </c>
      <c r="F18" s="7" t="s">
        <v>2355</v>
      </c>
      <c r="G18" s="10"/>
      <c r="H18" s="7" t="s">
        <v>2413</v>
      </c>
      <c r="I18" s="7" t="s">
        <v>2414</v>
      </c>
      <c r="J18" s="7" t="s">
        <v>2452</v>
      </c>
      <c r="K18" s="7" t="s">
        <v>2668</v>
      </c>
      <c r="L18" s="11" t="str">
        <f>HYPERLINK("http://slimages.macys.com/is/image/MCY/13368359 ")</f>
        <v xml:space="preserve">http://slimages.macys.com/is/image/MCY/13368359 </v>
      </c>
    </row>
    <row r="19" spans="1:12" ht="24.75" x14ac:dyDescent="0.25">
      <c r="A19" s="6" t="s">
        <v>1929</v>
      </c>
      <c r="B19" s="7" t="s">
        <v>1930</v>
      </c>
      <c r="C19" s="8">
        <v>1</v>
      </c>
      <c r="D19" s="9">
        <v>48.99</v>
      </c>
      <c r="E19" s="8" t="s">
        <v>1931</v>
      </c>
      <c r="F19" s="7"/>
      <c r="G19" s="10"/>
      <c r="H19" s="7" t="s">
        <v>2369</v>
      </c>
      <c r="I19" s="7" t="s">
        <v>2543</v>
      </c>
      <c r="J19" s="7" t="s">
        <v>2363</v>
      </c>
      <c r="K19" s="7" t="s">
        <v>2927</v>
      </c>
      <c r="L19" s="11" t="str">
        <f>HYPERLINK("http://slimages.macys.com/is/image/MCY/10974209 ")</f>
        <v xml:space="preserve">http://slimages.macys.com/is/image/MCY/10974209 </v>
      </c>
    </row>
    <row r="20" spans="1:12" ht="24.75" x14ac:dyDescent="0.25">
      <c r="A20" s="6" t="s">
        <v>2719</v>
      </c>
      <c r="B20" s="7" t="s">
        <v>2720</v>
      </c>
      <c r="C20" s="8">
        <v>1</v>
      </c>
      <c r="D20" s="9">
        <v>49.99</v>
      </c>
      <c r="E20" s="8" t="s">
        <v>2721</v>
      </c>
      <c r="F20" s="7" t="s">
        <v>2355</v>
      </c>
      <c r="G20" s="10"/>
      <c r="H20" s="7" t="s">
        <v>2396</v>
      </c>
      <c r="I20" s="7" t="s">
        <v>2397</v>
      </c>
      <c r="J20" s="7" t="s">
        <v>2363</v>
      </c>
      <c r="K20" s="7" t="s">
        <v>2389</v>
      </c>
      <c r="L20" s="11" t="str">
        <f>HYPERLINK("http://slimages.macys.com/is/image/MCY/8432521 ")</f>
        <v xml:space="preserve">http://slimages.macys.com/is/image/MCY/8432521 </v>
      </c>
    </row>
    <row r="21" spans="1:12" ht="24.75" x14ac:dyDescent="0.25">
      <c r="A21" s="6" t="s">
        <v>1932</v>
      </c>
      <c r="B21" s="7" t="s">
        <v>1933</v>
      </c>
      <c r="C21" s="8">
        <v>1</v>
      </c>
      <c r="D21" s="9">
        <v>39.99</v>
      </c>
      <c r="E21" s="8" t="s">
        <v>1934</v>
      </c>
      <c r="F21" s="7" t="s">
        <v>2368</v>
      </c>
      <c r="G21" s="10" t="s">
        <v>2450</v>
      </c>
      <c r="H21" s="7" t="s">
        <v>2391</v>
      </c>
      <c r="I21" s="7" t="s">
        <v>2451</v>
      </c>
      <c r="J21" s="7" t="s">
        <v>2452</v>
      </c>
      <c r="K21" s="7" t="s">
        <v>2770</v>
      </c>
      <c r="L21" s="11" t="str">
        <f>HYPERLINK("http://slimages.macys.com/is/image/MCY/16368618 ")</f>
        <v xml:space="preserve">http://slimages.macys.com/is/image/MCY/16368618 </v>
      </c>
    </row>
    <row r="22" spans="1:12" ht="24.75" x14ac:dyDescent="0.25">
      <c r="A22" s="6" t="s">
        <v>1935</v>
      </c>
      <c r="B22" s="7" t="s">
        <v>1936</v>
      </c>
      <c r="C22" s="8">
        <v>1</v>
      </c>
      <c r="D22" s="9">
        <v>31.99</v>
      </c>
      <c r="E22" s="8" t="s">
        <v>1937</v>
      </c>
      <c r="F22" s="7" t="s">
        <v>2390</v>
      </c>
      <c r="G22" s="10"/>
      <c r="H22" s="7" t="s">
        <v>2535</v>
      </c>
      <c r="I22" s="7" t="s">
        <v>2592</v>
      </c>
      <c r="J22" s="7" t="s">
        <v>2363</v>
      </c>
      <c r="K22" s="7" t="s">
        <v>2385</v>
      </c>
      <c r="L22" s="11" t="str">
        <f>HYPERLINK("http://slimages.macys.com/is/image/MCY/11940538 ")</f>
        <v xml:space="preserve">http://slimages.macys.com/is/image/MCY/11940538 </v>
      </c>
    </row>
    <row r="23" spans="1:12" ht="24.75" x14ac:dyDescent="0.25">
      <c r="A23" s="6" t="s">
        <v>1938</v>
      </c>
      <c r="B23" s="7" t="s">
        <v>1939</v>
      </c>
      <c r="C23" s="8">
        <v>1</v>
      </c>
      <c r="D23" s="9">
        <v>39.99</v>
      </c>
      <c r="E23" s="8" t="s">
        <v>1940</v>
      </c>
      <c r="F23" s="7" t="s">
        <v>2355</v>
      </c>
      <c r="G23" s="10" t="s">
        <v>2646</v>
      </c>
      <c r="H23" s="7" t="s">
        <v>2413</v>
      </c>
      <c r="I23" s="7" t="s">
        <v>2499</v>
      </c>
      <c r="J23" s="7"/>
      <c r="K23" s="7"/>
      <c r="L23" s="11" t="str">
        <f>HYPERLINK("http://slimages.macys.com/is/image/MCY/18753457 ")</f>
        <v xml:space="preserve">http://slimages.macys.com/is/image/MCY/18753457 </v>
      </c>
    </row>
    <row r="24" spans="1:12" ht="24.75" x14ac:dyDescent="0.25">
      <c r="A24" s="6" t="s">
        <v>1941</v>
      </c>
      <c r="B24" s="7" t="s">
        <v>1942</v>
      </c>
      <c r="C24" s="8">
        <v>1</v>
      </c>
      <c r="D24" s="9">
        <v>29.99</v>
      </c>
      <c r="E24" s="8" t="s">
        <v>1943</v>
      </c>
      <c r="F24" s="7" t="s">
        <v>2505</v>
      </c>
      <c r="G24" s="10"/>
      <c r="H24" s="7" t="s">
        <v>2369</v>
      </c>
      <c r="I24" s="7" t="s">
        <v>2431</v>
      </c>
      <c r="J24" s="7" t="s">
        <v>2363</v>
      </c>
      <c r="K24" s="7" t="s">
        <v>2385</v>
      </c>
      <c r="L24" s="11" t="str">
        <f>HYPERLINK("http://slimages.macys.com/is/image/MCY/10652381 ")</f>
        <v xml:space="preserve">http://slimages.macys.com/is/image/MCY/10652381 </v>
      </c>
    </row>
    <row r="25" spans="1:12" ht="24.75" x14ac:dyDescent="0.25">
      <c r="A25" s="6" t="s">
        <v>3007</v>
      </c>
      <c r="B25" s="7" t="s">
        <v>3008</v>
      </c>
      <c r="C25" s="8">
        <v>1</v>
      </c>
      <c r="D25" s="9">
        <v>17.989999999999998</v>
      </c>
      <c r="E25" s="8">
        <v>39401</v>
      </c>
      <c r="F25" s="7" t="s">
        <v>2355</v>
      </c>
      <c r="G25" s="10" t="s">
        <v>2539</v>
      </c>
      <c r="H25" s="7" t="s">
        <v>2407</v>
      </c>
      <c r="I25" s="7" t="s">
        <v>2542</v>
      </c>
      <c r="J25" s="7"/>
      <c r="K25" s="7"/>
      <c r="L25" s="11" t="str">
        <f>HYPERLINK("http://slimages.macys.com/is/image/MCY/18461838 ")</f>
        <v xml:space="preserve">http://slimages.macys.com/is/image/MCY/18461838 </v>
      </c>
    </row>
    <row r="26" spans="1:12" ht="24.75" x14ac:dyDescent="0.25">
      <c r="A26" s="6" t="s">
        <v>1944</v>
      </c>
      <c r="B26" s="7" t="s">
        <v>1945</v>
      </c>
      <c r="C26" s="8">
        <v>4</v>
      </c>
      <c r="D26" s="9">
        <v>79.959999999999994</v>
      </c>
      <c r="E26" s="8" t="s">
        <v>1946</v>
      </c>
      <c r="F26" s="7" t="s">
        <v>2615</v>
      </c>
      <c r="G26" s="10" t="s">
        <v>1947</v>
      </c>
      <c r="H26" s="7" t="s">
        <v>2391</v>
      </c>
      <c r="I26" s="7" t="s">
        <v>2926</v>
      </c>
      <c r="J26" s="7" t="s">
        <v>2363</v>
      </c>
      <c r="K26" s="7" t="s">
        <v>2371</v>
      </c>
      <c r="L26" s="11" t="str">
        <f>HYPERLINK("http://slimages.macys.com/is/image/MCY/12265629 ")</f>
        <v xml:space="preserve">http://slimages.macys.com/is/image/MCY/12265629 </v>
      </c>
    </row>
    <row r="27" spans="1:12" ht="24.75" x14ac:dyDescent="0.25">
      <c r="A27" s="6" t="s">
        <v>1948</v>
      </c>
      <c r="B27" s="7" t="s">
        <v>1949</v>
      </c>
      <c r="C27" s="8">
        <v>1</v>
      </c>
      <c r="D27" s="9">
        <v>179.99</v>
      </c>
      <c r="E27" s="8">
        <v>82278</v>
      </c>
      <c r="F27" s="7" t="s">
        <v>2506</v>
      </c>
      <c r="G27" s="10"/>
      <c r="H27" s="7" t="s">
        <v>2369</v>
      </c>
      <c r="I27" s="7" t="s">
        <v>3015</v>
      </c>
      <c r="J27" s="7"/>
      <c r="K27" s="7"/>
      <c r="L27" s="11"/>
    </row>
    <row r="28" spans="1:12" ht="24.75" x14ac:dyDescent="0.25">
      <c r="A28" s="6" t="s">
        <v>2814</v>
      </c>
      <c r="B28" s="7" t="s">
        <v>2815</v>
      </c>
      <c r="C28" s="8">
        <v>1</v>
      </c>
      <c r="D28" s="9">
        <v>59.99</v>
      </c>
      <c r="E28" s="8" t="s">
        <v>2816</v>
      </c>
      <c r="F28" s="7" t="s">
        <v>2355</v>
      </c>
      <c r="G28" s="10"/>
      <c r="H28" s="7" t="s">
        <v>2387</v>
      </c>
      <c r="I28" s="7" t="s">
        <v>2404</v>
      </c>
      <c r="J28" s="7"/>
      <c r="K28" s="7"/>
      <c r="L28" s="11"/>
    </row>
    <row r="29" spans="1:12" ht="24.75" x14ac:dyDescent="0.25">
      <c r="A29" s="6" t="s">
        <v>1950</v>
      </c>
      <c r="B29" s="7" t="s">
        <v>1951</v>
      </c>
      <c r="C29" s="8">
        <v>1</v>
      </c>
      <c r="D29" s="9">
        <v>45.99</v>
      </c>
      <c r="E29" s="8" t="s">
        <v>1952</v>
      </c>
      <c r="F29" s="7" t="s">
        <v>2601</v>
      </c>
      <c r="G29" s="10"/>
      <c r="H29" s="7" t="s">
        <v>2387</v>
      </c>
      <c r="I29" s="7" t="s">
        <v>2404</v>
      </c>
      <c r="J29" s="7"/>
      <c r="K29" s="7"/>
      <c r="L29" s="11"/>
    </row>
    <row r="30" spans="1:12" ht="15" x14ac:dyDescent="0.25"/>
    <row r="31" spans="1:12" ht="15" x14ac:dyDescent="0.25"/>
    <row r="32" spans="1:1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</sheetData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55"/>
  <sheetViews>
    <sheetView workbookViewId="0">
      <selection activeCell="B44" sqref="B44"/>
    </sheetView>
  </sheetViews>
  <sheetFormatPr defaultRowHeight="39.950000000000003" customHeight="1" x14ac:dyDescent="0.25"/>
  <cols>
    <col min="1" max="1" width="14.28515625" customWidth="1"/>
    <col min="2" max="2" width="46.85546875" customWidth="1"/>
    <col min="3" max="3" width="15" customWidth="1"/>
    <col min="4" max="4" width="10.28515625" customWidth="1"/>
    <col min="5" max="5" width="16.57031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2350</v>
      </c>
      <c r="I1" s="5" t="s">
        <v>2351</v>
      </c>
      <c r="J1" s="5" t="s">
        <v>2352</v>
      </c>
      <c r="K1" s="5" t="s">
        <v>2353</v>
      </c>
      <c r="L1" s="5" t="s">
        <v>2354</v>
      </c>
    </row>
    <row r="2" spans="1:12" ht="39.950000000000003" customHeight="1" x14ac:dyDescent="0.25">
      <c r="A2" s="6" t="s">
        <v>1953</v>
      </c>
      <c r="B2" s="7" t="s">
        <v>1954</v>
      </c>
      <c r="C2" s="8">
        <v>1</v>
      </c>
      <c r="D2" s="9">
        <v>249.99</v>
      </c>
      <c r="E2" s="8">
        <v>223516</v>
      </c>
      <c r="F2" s="7" t="s">
        <v>2722</v>
      </c>
      <c r="G2" s="10"/>
      <c r="H2" s="7" t="s">
        <v>2391</v>
      </c>
      <c r="I2" s="7" t="s">
        <v>1955</v>
      </c>
      <c r="J2" s="7" t="s">
        <v>2363</v>
      </c>
      <c r="K2" s="7"/>
      <c r="L2" s="11" t="str">
        <f>HYPERLINK("http://slimages.macys.com/is/image/MCY/8770351 ")</f>
        <v xml:space="preserve">http://slimages.macys.com/is/image/MCY/8770351 </v>
      </c>
    </row>
    <row r="3" spans="1:12" ht="39.950000000000003" customHeight="1" x14ac:dyDescent="0.25">
      <c r="A3" s="6" t="s">
        <v>1956</v>
      </c>
      <c r="B3" s="7" t="s">
        <v>1957</v>
      </c>
      <c r="C3" s="8">
        <v>1</v>
      </c>
      <c r="D3" s="9">
        <v>162.99</v>
      </c>
      <c r="E3" s="8" t="s">
        <v>1958</v>
      </c>
      <c r="F3" s="7" t="s">
        <v>2355</v>
      </c>
      <c r="G3" s="10"/>
      <c r="H3" s="7" t="s">
        <v>2387</v>
      </c>
      <c r="I3" s="7" t="s">
        <v>1959</v>
      </c>
      <c r="J3" s="7" t="s">
        <v>2363</v>
      </c>
      <c r="K3" s="7" t="s">
        <v>2371</v>
      </c>
      <c r="L3" s="11" t="str">
        <f>HYPERLINK("http://slimages.macys.com/is/image/MCY/13526602 ")</f>
        <v xml:space="preserve">http://slimages.macys.com/is/image/MCY/13526602 </v>
      </c>
    </row>
    <row r="4" spans="1:12" ht="39.950000000000003" customHeight="1" x14ac:dyDescent="0.25">
      <c r="A4" s="6" t="s">
        <v>1960</v>
      </c>
      <c r="B4" s="7" t="s">
        <v>2783</v>
      </c>
      <c r="C4" s="8">
        <v>1</v>
      </c>
      <c r="D4" s="9">
        <v>249.99</v>
      </c>
      <c r="E4" s="8" t="s">
        <v>1961</v>
      </c>
      <c r="F4" s="7" t="s">
        <v>2390</v>
      </c>
      <c r="G4" s="10"/>
      <c r="H4" s="7" t="s">
        <v>2357</v>
      </c>
      <c r="I4" s="7" t="s">
        <v>2476</v>
      </c>
      <c r="J4" s="7"/>
      <c r="K4" s="7"/>
      <c r="L4" s="11" t="str">
        <f>HYPERLINK("http://slimages.macys.com/is/image/MCY/17629401 ")</f>
        <v xml:space="preserve">http://slimages.macys.com/is/image/MCY/17629401 </v>
      </c>
    </row>
    <row r="5" spans="1:12" ht="39.950000000000003" customHeight="1" x14ac:dyDescent="0.25">
      <c r="A5" s="6" t="s">
        <v>1962</v>
      </c>
      <c r="B5" s="7" t="s">
        <v>1963</v>
      </c>
      <c r="C5" s="8">
        <v>1</v>
      </c>
      <c r="D5" s="9">
        <v>167.99</v>
      </c>
      <c r="E5" s="8" t="s">
        <v>1964</v>
      </c>
      <c r="F5" s="7" t="s">
        <v>2355</v>
      </c>
      <c r="G5" s="10"/>
      <c r="H5" s="7" t="s">
        <v>2407</v>
      </c>
      <c r="I5" s="7" t="s">
        <v>2572</v>
      </c>
      <c r="J5" s="7" t="s">
        <v>2363</v>
      </c>
      <c r="K5" s="7" t="s">
        <v>1965</v>
      </c>
      <c r="L5" s="11" t="str">
        <f>HYPERLINK("http://slimages.macys.com/is/image/MCY/14330482 ")</f>
        <v xml:space="preserve">http://slimages.macys.com/is/image/MCY/14330482 </v>
      </c>
    </row>
    <row r="6" spans="1:12" ht="39.950000000000003" customHeight="1" x14ac:dyDescent="0.25">
      <c r="A6" s="6" t="s">
        <v>1966</v>
      </c>
      <c r="B6" s="7" t="s">
        <v>1967</v>
      </c>
      <c r="C6" s="8">
        <v>1</v>
      </c>
      <c r="D6" s="9">
        <v>55.99</v>
      </c>
      <c r="E6" s="8" t="s">
        <v>1968</v>
      </c>
      <c r="F6" s="7" t="s">
        <v>2446</v>
      </c>
      <c r="G6" s="10"/>
      <c r="H6" s="7" t="s">
        <v>2391</v>
      </c>
      <c r="I6" s="7" t="s">
        <v>2528</v>
      </c>
      <c r="J6" s="7" t="s">
        <v>2363</v>
      </c>
      <c r="K6" s="7"/>
      <c r="L6" s="11" t="str">
        <f>HYPERLINK("http://slimages.macys.com/is/image/MCY/8907453 ")</f>
        <v xml:space="preserve">http://slimages.macys.com/is/image/MCY/8907453 </v>
      </c>
    </row>
    <row r="7" spans="1:12" ht="39.950000000000003" customHeight="1" x14ac:dyDescent="0.25">
      <c r="A7" s="6" t="s">
        <v>1969</v>
      </c>
      <c r="B7" s="7" t="s">
        <v>1970</v>
      </c>
      <c r="C7" s="8">
        <v>1</v>
      </c>
      <c r="D7" s="9">
        <v>129.99</v>
      </c>
      <c r="E7" s="8" t="s">
        <v>1971</v>
      </c>
      <c r="F7" s="7" t="s">
        <v>2446</v>
      </c>
      <c r="G7" s="10"/>
      <c r="H7" s="7" t="s">
        <v>2383</v>
      </c>
      <c r="I7" s="7" t="s">
        <v>2502</v>
      </c>
      <c r="J7" s="7" t="s">
        <v>2363</v>
      </c>
      <c r="K7" s="7" t="s">
        <v>2389</v>
      </c>
      <c r="L7" s="11" t="str">
        <f>HYPERLINK("http://slimages.macys.com/is/image/MCY/15730384 ")</f>
        <v xml:space="preserve">http://slimages.macys.com/is/image/MCY/15730384 </v>
      </c>
    </row>
    <row r="8" spans="1:12" ht="39.950000000000003" customHeight="1" x14ac:dyDescent="0.25">
      <c r="A8" s="6" t="s">
        <v>1972</v>
      </c>
      <c r="B8" s="7" t="s">
        <v>1973</v>
      </c>
      <c r="C8" s="8">
        <v>1</v>
      </c>
      <c r="D8" s="9">
        <v>99.99</v>
      </c>
      <c r="E8" s="8">
        <v>221493</v>
      </c>
      <c r="F8" s="7" t="s">
        <v>2435</v>
      </c>
      <c r="G8" s="10"/>
      <c r="H8" s="7" t="s">
        <v>2383</v>
      </c>
      <c r="I8" s="7" t="s">
        <v>2617</v>
      </c>
      <c r="J8" s="7" t="s">
        <v>2363</v>
      </c>
      <c r="K8" s="7" t="s">
        <v>2389</v>
      </c>
      <c r="L8" s="11" t="str">
        <f>HYPERLINK("http://slimages.macys.com/is/image/MCY/16910156 ")</f>
        <v xml:space="preserve">http://slimages.macys.com/is/image/MCY/16910156 </v>
      </c>
    </row>
    <row r="9" spans="1:12" ht="39.950000000000003" customHeight="1" x14ac:dyDescent="0.25">
      <c r="A9" s="6" t="s">
        <v>1974</v>
      </c>
      <c r="B9" s="7" t="s">
        <v>1975</v>
      </c>
      <c r="C9" s="8">
        <v>1</v>
      </c>
      <c r="D9" s="9">
        <v>160</v>
      </c>
      <c r="E9" s="8" t="s">
        <v>1976</v>
      </c>
      <c r="F9" s="7" t="s">
        <v>2424</v>
      </c>
      <c r="G9" s="10"/>
      <c r="H9" s="7" t="s">
        <v>2357</v>
      </c>
      <c r="I9" s="7" t="s">
        <v>2857</v>
      </c>
      <c r="J9" s="7" t="s">
        <v>2725</v>
      </c>
      <c r="K9" s="7" t="s">
        <v>2389</v>
      </c>
      <c r="L9" s="11" t="str">
        <f>HYPERLINK("http://images.bloomingdales.com/is/image/BLM/1141035 ")</f>
        <v xml:space="preserve">http://images.bloomingdales.com/is/image/BLM/1141035 </v>
      </c>
    </row>
    <row r="10" spans="1:12" ht="39.950000000000003" customHeight="1" x14ac:dyDescent="0.25">
      <c r="A10" s="6" t="s">
        <v>1977</v>
      </c>
      <c r="B10" s="7" t="s">
        <v>1978</v>
      </c>
      <c r="C10" s="8">
        <v>1</v>
      </c>
      <c r="D10" s="9">
        <v>39.99</v>
      </c>
      <c r="E10" s="8" t="s">
        <v>1979</v>
      </c>
      <c r="F10" s="7" t="s">
        <v>2435</v>
      </c>
      <c r="G10" s="10"/>
      <c r="H10" s="7" t="s">
        <v>2383</v>
      </c>
      <c r="I10" s="7" t="s">
        <v>2445</v>
      </c>
      <c r="J10" s="7" t="s">
        <v>2363</v>
      </c>
      <c r="K10" s="7" t="s">
        <v>2389</v>
      </c>
      <c r="L10" s="11" t="str">
        <f>HYPERLINK("http://slimages.macys.com/is/image/MCY/12751904 ")</f>
        <v xml:space="preserve">http://slimages.macys.com/is/image/MCY/12751904 </v>
      </c>
    </row>
    <row r="11" spans="1:12" ht="39.950000000000003" customHeight="1" x14ac:dyDescent="0.25">
      <c r="A11" s="6" t="s">
        <v>1980</v>
      </c>
      <c r="B11" s="7" t="s">
        <v>1981</v>
      </c>
      <c r="C11" s="8">
        <v>2</v>
      </c>
      <c r="D11" s="9">
        <v>290</v>
      </c>
      <c r="E11" s="8" t="s">
        <v>1982</v>
      </c>
      <c r="F11" s="7" t="s">
        <v>2477</v>
      </c>
      <c r="G11" s="10" t="s">
        <v>2469</v>
      </c>
      <c r="H11" s="7" t="s">
        <v>2369</v>
      </c>
      <c r="I11" s="7" t="s">
        <v>1983</v>
      </c>
      <c r="J11" s="7" t="s">
        <v>2496</v>
      </c>
      <c r="K11" s="7" t="s">
        <v>1984</v>
      </c>
      <c r="L11" s="11" t="str">
        <f>HYPERLINK("http://images.bloomingdales.com/is/image/BLM/11103042 ")</f>
        <v xml:space="preserve">http://images.bloomingdales.com/is/image/BLM/11103042 </v>
      </c>
    </row>
    <row r="12" spans="1:12" ht="39.950000000000003" customHeight="1" x14ac:dyDescent="0.25">
      <c r="A12" s="6" t="s">
        <v>1985</v>
      </c>
      <c r="B12" s="7" t="s">
        <v>1986</v>
      </c>
      <c r="C12" s="8">
        <v>1</v>
      </c>
      <c r="D12" s="9">
        <v>99.99</v>
      </c>
      <c r="E12" s="8" t="s">
        <v>1987</v>
      </c>
      <c r="F12" s="7" t="s">
        <v>2495</v>
      </c>
      <c r="G12" s="10"/>
      <c r="H12" s="7" t="s">
        <v>2396</v>
      </c>
      <c r="I12" s="7" t="s">
        <v>2397</v>
      </c>
      <c r="J12" s="7" t="s">
        <v>2363</v>
      </c>
      <c r="K12" s="7"/>
      <c r="L12" s="11" t="str">
        <f>HYPERLINK("http://slimages.macys.com/is/image/MCY/13689104 ")</f>
        <v xml:space="preserve">http://slimages.macys.com/is/image/MCY/13689104 </v>
      </c>
    </row>
    <row r="13" spans="1:12" ht="39.950000000000003" customHeight="1" x14ac:dyDescent="0.25">
      <c r="A13" s="6" t="s">
        <v>1988</v>
      </c>
      <c r="B13" s="7" t="s">
        <v>1989</v>
      </c>
      <c r="C13" s="8">
        <v>1</v>
      </c>
      <c r="D13" s="9">
        <v>71.989999999999995</v>
      </c>
      <c r="E13" s="8" t="s">
        <v>1990</v>
      </c>
      <c r="F13" s="7" t="s">
        <v>2475</v>
      </c>
      <c r="G13" s="10"/>
      <c r="H13" s="7" t="s">
        <v>2387</v>
      </c>
      <c r="I13" s="7" t="s">
        <v>1991</v>
      </c>
      <c r="J13" s="7" t="s">
        <v>2363</v>
      </c>
      <c r="K13" s="7" t="s">
        <v>2389</v>
      </c>
      <c r="L13" s="11" t="str">
        <f>HYPERLINK("http://slimages.macys.com/is/image/MCY/10790515 ")</f>
        <v xml:space="preserve">http://slimages.macys.com/is/image/MCY/10790515 </v>
      </c>
    </row>
    <row r="14" spans="1:12" ht="39.950000000000003" customHeight="1" x14ac:dyDescent="0.25">
      <c r="A14" s="6" t="s">
        <v>1992</v>
      </c>
      <c r="B14" s="7" t="s">
        <v>1993</v>
      </c>
      <c r="C14" s="8">
        <v>1</v>
      </c>
      <c r="D14" s="9">
        <v>79.989999999999995</v>
      </c>
      <c r="E14" s="8">
        <v>17629338</v>
      </c>
      <c r="F14" s="7" t="s">
        <v>2446</v>
      </c>
      <c r="G14" s="10"/>
      <c r="H14" s="7" t="s">
        <v>2432</v>
      </c>
      <c r="I14" s="7" t="s">
        <v>2605</v>
      </c>
      <c r="J14" s="7" t="s">
        <v>2363</v>
      </c>
      <c r="K14" s="7" t="s">
        <v>2389</v>
      </c>
      <c r="L14" s="11" t="str">
        <f>HYPERLINK("http://slimages.macys.com/is/image/MCY/3073694 ")</f>
        <v xml:space="preserve">http://slimages.macys.com/is/image/MCY/3073694 </v>
      </c>
    </row>
    <row r="15" spans="1:12" ht="39.950000000000003" customHeight="1" x14ac:dyDescent="0.25">
      <c r="A15" s="6" t="s">
        <v>3028</v>
      </c>
      <c r="B15" s="7" t="s">
        <v>3029</v>
      </c>
      <c r="C15" s="8">
        <v>1</v>
      </c>
      <c r="D15" s="9">
        <v>119.99</v>
      </c>
      <c r="E15" s="8" t="s">
        <v>3030</v>
      </c>
      <c r="F15" s="7" t="s">
        <v>2403</v>
      </c>
      <c r="G15" s="10"/>
      <c r="H15" s="7" t="s">
        <v>2400</v>
      </c>
      <c r="I15" s="7" t="s">
        <v>2411</v>
      </c>
      <c r="J15" s="7" t="s">
        <v>2363</v>
      </c>
      <c r="K15" s="7" t="s">
        <v>2412</v>
      </c>
      <c r="L15" s="11" t="str">
        <f>HYPERLINK("http://slimages.macys.com/is/image/MCY/14426327 ")</f>
        <v xml:space="preserve">http://slimages.macys.com/is/image/MCY/14426327 </v>
      </c>
    </row>
    <row r="16" spans="1:12" ht="39.950000000000003" customHeight="1" x14ac:dyDescent="0.25">
      <c r="A16" s="6" t="s">
        <v>1994</v>
      </c>
      <c r="B16" s="7" t="s">
        <v>1995</v>
      </c>
      <c r="C16" s="8">
        <v>1</v>
      </c>
      <c r="D16" s="9">
        <v>100</v>
      </c>
      <c r="E16" s="8" t="s">
        <v>1996</v>
      </c>
      <c r="F16" s="7" t="s">
        <v>2399</v>
      </c>
      <c r="G16" s="10" t="s">
        <v>2441</v>
      </c>
      <c r="H16" s="7" t="s">
        <v>2420</v>
      </c>
      <c r="I16" s="7" t="s">
        <v>1997</v>
      </c>
      <c r="J16" s="7" t="s">
        <v>1998</v>
      </c>
      <c r="K16" s="7" t="s">
        <v>2389</v>
      </c>
      <c r="L16" s="11" t="str">
        <f>HYPERLINK("http://images.bloomingdales.com/is/image/BLM/9619269 ")</f>
        <v xml:space="preserve">http://images.bloomingdales.com/is/image/BLM/9619269 </v>
      </c>
    </row>
    <row r="17" spans="1:12" ht="39.950000000000003" customHeight="1" x14ac:dyDescent="0.25">
      <c r="A17" s="6" t="s">
        <v>1999</v>
      </c>
      <c r="B17" s="7" t="s">
        <v>2000</v>
      </c>
      <c r="C17" s="8">
        <v>1</v>
      </c>
      <c r="D17" s="9">
        <v>120</v>
      </c>
      <c r="E17" s="8" t="s">
        <v>2001</v>
      </c>
      <c r="F17" s="7" t="s">
        <v>2355</v>
      </c>
      <c r="G17" s="10"/>
      <c r="H17" s="7" t="s">
        <v>2413</v>
      </c>
      <c r="I17" s="7" t="s">
        <v>2002</v>
      </c>
      <c r="J17" s="7" t="s">
        <v>2795</v>
      </c>
      <c r="K17" s="7" t="s">
        <v>2003</v>
      </c>
      <c r="L17" s="11" t="str">
        <f>HYPERLINK("http://images.bloomingdales.com/is/image/BLM/10698348 ")</f>
        <v xml:space="preserve">http://images.bloomingdales.com/is/image/BLM/10698348 </v>
      </c>
    </row>
    <row r="18" spans="1:12" ht="39.950000000000003" customHeight="1" x14ac:dyDescent="0.25">
      <c r="A18" s="6" t="s">
        <v>2004</v>
      </c>
      <c r="B18" s="7" t="s">
        <v>2005</v>
      </c>
      <c r="C18" s="8">
        <v>1</v>
      </c>
      <c r="D18" s="9">
        <v>79.989999999999995</v>
      </c>
      <c r="E18" s="8" t="s">
        <v>2006</v>
      </c>
      <c r="F18" s="7" t="s">
        <v>2477</v>
      </c>
      <c r="G18" s="10"/>
      <c r="H18" s="7" t="s">
        <v>2369</v>
      </c>
      <c r="I18" s="7" t="s">
        <v>2409</v>
      </c>
      <c r="J18" s="7"/>
      <c r="K18" s="7"/>
      <c r="L18" s="11" t="str">
        <f>HYPERLINK("http://slimages.macys.com/is/image/MCY/18975003 ")</f>
        <v xml:space="preserve">http://slimages.macys.com/is/image/MCY/18975003 </v>
      </c>
    </row>
    <row r="19" spans="1:12" ht="39.950000000000003" customHeight="1" x14ac:dyDescent="0.25">
      <c r="A19" s="6" t="s">
        <v>2007</v>
      </c>
      <c r="B19" s="7" t="s">
        <v>2008</v>
      </c>
      <c r="C19" s="8">
        <v>1</v>
      </c>
      <c r="D19" s="9">
        <v>49.99</v>
      </c>
      <c r="E19" s="8" t="s">
        <v>2009</v>
      </c>
      <c r="F19" s="7" t="s">
        <v>2475</v>
      </c>
      <c r="G19" s="10"/>
      <c r="H19" s="7" t="s">
        <v>2387</v>
      </c>
      <c r="I19" s="7" t="s">
        <v>2404</v>
      </c>
      <c r="J19" s="7" t="s">
        <v>2363</v>
      </c>
      <c r="K19" s="7"/>
      <c r="L19" s="11" t="str">
        <f>HYPERLINK("http://slimages.macys.com/is/image/MCY/15255316 ")</f>
        <v xml:space="preserve">http://slimages.macys.com/is/image/MCY/15255316 </v>
      </c>
    </row>
    <row r="20" spans="1:12" ht="39.950000000000003" customHeight="1" x14ac:dyDescent="0.25">
      <c r="A20" s="6" t="s">
        <v>2010</v>
      </c>
      <c r="B20" s="7" t="s">
        <v>2011</v>
      </c>
      <c r="C20" s="8">
        <v>1</v>
      </c>
      <c r="D20" s="9">
        <v>51.99</v>
      </c>
      <c r="E20" s="8" t="s">
        <v>2012</v>
      </c>
      <c r="F20" s="7" t="s">
        <v>2355</v>
      </c>
      <c r="G20" s="10"/>
      <c r="H20" s="7" t="s">
        <v>2387</v>
      </c>
      <c r="I20" s="7" t="s">
        <v>1803</v>
      </c>
      <c r="J20" s="7" t="s">
        <v>2363</v>
      </c>
      <c r="K20" s="7" t="s">
        <v>2389</v>
      </c>
      <c r="L20" s="11" t="str">
        <f>HYPERLINK("http://slimages.macys.com/is/image/MCY/15615374 ")</f>
        <v xml:space="preserve">http://slimages.macys.com/is/image/MCY/15615374 </v>
      </c>
    </row>
    <row r="21" spans="1:12" ht="39.950000000000003" customHeight="1" x14ac:dyDescent="0.25">
      <c r="A21" s="6" t="s">
        <v>2013</v>
      </c>
      <c r="B21" s="7" t="s">
        <v>2014</v>
      </c>
      <c r="C21" s="8">
        <v>1</v>
      </c>
      <c r="D21" s="9">
        <v>65.989999999999995</v>
      </c>
      <c r="E21" s="8" t="s">
        <v>2015</v>
      </c>
      <c r="F21" s="7" t="s">
        <v>2512</v>
      </c>
      <c r="G21" s="10"/>
      <c r="H21" s="7" t="s">
        <v>2391</v>
      </c>
      <c r="I21" s="7" t="s">
        <v>2653</v>
      </c>
      <c r="J21" s="7" t="s">
        <v>2363</v>
      </c>
      <c r="K21" s="7" t="s">
        <v>2389</v>
      </c>
      <c r="L21" s="11" t="str">
        <f>HYPERLINK("http://slimages.macys.com/is/image/MCY/12816875 ")</f>
        <v xml:space="preserve">http://slimages.macys.com/is/image/MCY/12816875 </v>
      </c>
    </row>
    <row r="22" spans="1:12" ht="39.950000000000003" customHeight="1" x14ac:dyDescent="0.25">
      <c r="A22" s="6" t="s">
        <v>2016</v>
      </c>
      <c r="B22" s="7" t="s">
        <v>2017</v>
      </c>
      <c r="C22" s="8">
        <v>1</v>
      </c>
      <c r="D22" s="9">
        <v>44.99</v>
      </c>
      <c r="E22" s="8">
        <v>51954</v>
      </c>
      <c r="F22" s="7" t="s">
        <v>2368</v>
      </c>
      <c r="G22" s="10"/>
      <c r="H22" s="7" t="s">
        <v>2391</v>
      </c>
      <c r="I22" s="7" t="s">
        <v>2456</v>
      </c>
      <c r="J22" s="7" t="s">
        <v>2363</v>
      </c>
      <c r="K22" s="7"/>
      <c r="L22" s="11" t="str">
        <f>HYPERLINK("http://slimages.macys.com/is/image/MCY/9057368 ")</f>
        <v xml:space="preserve">http://slimages.macys.com/is/image/MCY/9057368 </v>
      </c>
    </row>
    <row r="23" spans="1:12" ht="39.950000000000003" customHeight="1" x14ac:dyDescent="0.25">
      <c r="A23" s="6" t="s">
        <v>2018</v>
      </c>
      <c r="B23" s="7" t="s">
        <v>2019</v>
      </c>
      <c r="C23" s="8">
        <v>1</v>
      </c>
      <c r="D23" s="9">
        <v>59.99</v>
      </c>
      <c r="E23" s="8" t="s">
        <v>2020</v>
      </c>
      <c r="F23" s="7" t="s">
        <v>2514</v>
      </c>
      <c r="G23" s="10"/>
      <c r="H23" s="7" t="s">
        <v>2535</v>
      </c>
      <c r="I23" s="7" t="s">
        <v>2408</v>
      </c>
      <c r="J23" s="7" t="s">
        <v>2363</v>
      </c>
      <c r="K23" s="7" t="s">
        <v>2385</v>
      </c>
      <c r="L23" s="11" t="str">
        <f>HYPERLINK("http://slimages.macys.com/is/image/MCY/3819330 ")</f>
        <v xml:space="preserve">http://slimages.macys.com/is/image/MCY/3819330 </v>
      </c>
    </row>
    <row r="24" spans="1:12" ht="39.950000000000003" customHeight="1" x14ac:dyDescent="0.25">
      <c r="A24" s="6" t="s">
        <v>2021</v>
      </c>
      <c r="B24" s="7" t="s">
        <v>2022</v>
      </c>
      <c r="C24" s="8">
        <v>1</v>
      </c>
      <c r="D24" s="9">
        <v>37.99</v>
      </c>
      <c r="E24" s="8" t="s">
        <v>2023</v>
      </c>
      <c r="F24" s="7" t="s">
        <v>2377</v>
      </c>
      <c r="G24" s="10"/>
      <c r="H24" s="7" t="s">
        <v>2422</v>
      </c>
      <c r="I24" s="7" t="s">
        <v>2540</v>
      </c>
      <c r="J24" s="7" t="s">
        <v>2363</v>
      </c>
      <c r="K24" s="7" t="s">
        <v>2389</v>
      </c>
      <c r="L24" s="11" t="str">
        <f>HYPERLINK("http://slimages.macys.com/is/image/MCY/15782138 ")</f>
        <v xml:space="preserve">http://slimages.macys.com/is/image/MCY/15782138 </v>
      </c>
    </row>
    <row r="25" spans="1:12" ht="39.950000000000003" customHeight="1" x14ac:dyDescent="0.25">
      <c r="A25" s="6" t="s">
        <v>2024</v>
      </c>
      <c r="B25" s="7" t="s">
        <v>2025</v>
      </c>
      <c r="C25" s="8">
        <v>1</v>
      </c>
      <c r="D25" s="9">
        <v>39.99</v>
      </c>
      <c r="E25" s="8">
        <v>17797</v>
      </c>
      <c r="F25" s="7" t="s">
        <v>2512</v>
      </c>
      <c r="G25" s="10" t="s">
        <v>2469</v>
      </c>
      <c r="H25" s="7" t="s">
        <v>2391</v>
      </c>
      <c r="I25" s="7" t="s">
        <v>2515</v>
      </c>
      <c r="J25" s="7" t="s">
        <v>2363</v>
      </c>
      <c r="K25" s="7" t="s">
        <v>2385</v>
      </c>
      <c r="L25" s="11" t="str">
        <f>HYPERLINK("http://slimages.macys.com/is/image/MCY/9175647 ")</f>
        <v xml:space="preserve">http://slimages.macys.com/is/image/MCY/9175647 </v>
      </c>
    </row>
    <row r="26" spans="1:12" ht="39.950000000000003" customHeight="1" x14ac:dyDescent="0.25">
      <c r="A26" s="6" t="s">
        <v>2026</v>
      </c>
      <c r="B26" s="7" t="s">
        <v>2027</v>
      </c>
      <c r="C26" s="8">
        <v>1</v>
      </c>
      <c r="D26" s="9">
        <v>120</v>
      </c>
      <c r="E26" s="8">
        <v>7503006790</v>
      </c>
      <c r="F26" s="7" t="s">
        <v>2355</v>
      </c>
      <c r="G26" s="10"/>
      <c r="H26" s="7" t="s">
        <v>2357</v>
      </c>
      <c r="I26" s="7" t="s">
        <v>2857</v>
      </c>
      <c r="J26" s="7" t="s">
        <v>2725</v>
      </c>
      <c r="K26" s="7" t="s">
        <v>2389</v>
      </c>
      <c r="L26" s="11" t="str">
        <f>HYPERLINK("http://images.bloomingdales.com/is/image/BLM/9088359 ")</f>
        <v xml:space="preserve">http://images.bloomingdales.com/is/image/BLM/9088359 </v>
      </c>
    </row>
    <row r="27" spans="1:12" ht="39.950000000000003" customHeight="1" x14ac:dyDescent="0.25">
      <c r="A27" s="6" t="s">
        <v>2028</v>
      </c>
      <c r="B27" s="7" t="s">
        <v>2029</v>
      </c>
      <c r="C27" s="8">
        <v>1</v>
      </c>
      <c r="D27" s="9">
        <v>69.989999999999995</v>
      </c>
      <c r="E27" s="8" t="s">
        <v>2030</v>
      </c>
      <c r="F27" s="7" t="s">
        <v>2362</v>
      </c>
      <c r="G27" s="10"/>
      <c r="H27" s="7" t="s">
        <v>2357</v>
      </c>
      <c r="I27" s="7" t="s">
        <v>2593</v>
      </c>
      <c r="J27" s="7" t="s">
        <v>2363</v>
      </c>
      <c r="K27" s="7" t="s">
        <v>2031</v>
      </c>
      <c r="L27" s="11" t="str">
        <f>HYPERLINK("http://slimages.macys.com/is/image/MCY/15767052 ")</f>
        <v xml:space="preserve">http://slimages.macys.com/is/image/MCY/15767052 </v>
      </c>
    </row>
    <row r="28" spans="1:12" ht="39.950000000000003" customHeight="1" x14ac:dyDescent="0.25">
      <c r="A28" s="6" t="s">
        <v>2032</v>
      </c>
      <c r="B28" s="7" t="s">
        <v>2033</v>
      </c>
      <c r="C28" s="8">
        <v>1</v>
      </c>
      <c r="D28" s="9">
        <v>49.99</v>
      </c>
      <c r="E28" s="8" t="s">
        <v>2034</v>
      </c>
      <c r="F28" s="7" t="s">
        <v>2436</v>
      </c>
      <c r="G28" s="10" t="s">
        <v>2450</v>
      </c>
      <c r="H28" s="7" t="s">
        <v>2383</v>
      </c>
      <c r="I28" s="7" t="s">
        <v>2384</v>
      </c>
      <c r="J28" s="7" t="s">
        <v>2363</v>
      </c>
      <c r="K28" s="7" t="s">
        <v>2371</v>
      </c>
      <c r="L28" s="11" t="str">
        <f>HYPERLINK("http://slimages.macys.com/is/image/MCY/11961607 ")</f>
        <v xml:space="preserve">http://slimages.macys.com/is/image/MCY/11961607 </v>
      </c>
    </row>
    <row r="29" spans="1:12" ht="39.950000000000003" customHeight="1" x14ac:dyDescent="0.25">
      <c r="A29" s="6" t="s">
        <v>2035</v>
      </c>
      <c r="B29" s="7" t="s">
        <v>2036</v>
      </c>
      <c r="C29" s="8">
        <v>1</v>
      </c>
      <c r="D29" s="9">
        <v>45.99</v>
      </c>
      <c r="E29" s="8" t="s">
        <v>2037</v>
      </c>
      <c r="F29" s="7" t="s">
        <v>2600</v>
      </c>
      <c r="G29" s="10"/>
      <c r="H29" s="7" t="s">
        <v>2387</v>
      </c>
      <c r="I29" s="7" t="s">
        <v>2404</v>
      </c>
      <c r="J29" s="7" t="s">
        <v>2363</v>
      </c>
      <c r="K29" s="7"/>
      <c r="L29" s="11" t="str">
        <f>HYPERLINK("http://slimages.macys.com/is/image/MCY/15255316 ")</f>
        <v xml:space="preserve">http://slimages.macys.com/is/image/MCY/15255316 </v>
      </c>
    </row>
    <row r="30" spans="1:12" ht="39.950000000000003" customHeight="1" x14ac:dyDescent="0.25">
      <c r="A30" s="6" t="s">
        <v>2038</v>
      </c>
      <c r="B30" s="7" t="s">
        <v>2039</v>
      </c>
      <c r="C30" s="8">
        <v>1</v>
      </c>
      <c r="D30" s="9">
        <v>39.99</v>
      </c>
      <c r="E30" s="8" t="s">
        <v>2040</v>
      </c>
      <c r="F30" s="7" t="s">
        <v>2368</v>
      </c>
      <c r="G30" s="10"/>
      <c r="H30" s="7" t="s">
        <v>2432</v>
      </c>
      <c r="I30" s="7" t="s">
        <v>2735</v>
      </c>
      <c r="J30" s="7" t="s">
        <v>2363</v>
      </c>
      <c r="K30" s="7" t="s">
        <v>2385</v>
      </c>
      <c r="L30" s="11" t="str">
        <f>HYPERLINK("http://slimages.macys.com/is/image/MCY/13731799 ")</f>
        <v xml:space="preserve">http://slimages.macys.com/is/image/MCY/13731799 </v>
      </c>
    </row>
    <row r="31" spans="1:12" ht="39.950000000000003" customHeight="1" x14ac:dyDescent="0.25">
      <c r="A31" s="6" t="s">
        <v>2041</v>
      </c>
      <c r="B31" s="7" t="s">
        <v>2042</v>
      </c>
      <c r="C31" s="8">
        <v>2</v>
      </c>
      <c r="D31" s="9">
        <v>230</v>
      </c>
      <c r="E31" s="8" t="s">
        <v>2043</v>
      </c>
      <c r="F31" s="7" t="s">
        <v>2399</v>
      </c>
      <c r="G31" s="10"/>
      <c r="H31" s="7" t="s">
        <v>2357</v>
      </c>
      <c r="I31" s="7" t="s">
        <v>2044</v>
      </c>
      <c r="J31" s="7" t="s">
        <v>2496</v>
      </c>
      <c r="K31" s="7" t="s">
        <v>2045</v>
      </c>
      <c r="L31" s="11" t="str">
        <f>HYPERLINK("http://images.bloomingdales.com/is/image/BLM/10163200 ")</f>
        <v xml:space="preserve">http://images.bloomingdales.com/is/image/BLM/10163200 </v>
      </c>
    </row>
    <row r="32" spans="1:12" ht="39.950000000000003" customHeight="1" x14ac:dyDescent="0.25">
      <c r="A32" s="6" t="s">
        <v>2046</v>
      </c>
      <c r="B32" s="7" t="s">
        <v>2047</v>
      </c>
      <c r="C32" s="8">
        <v>1</v>
      </c>
      <c r="D32" s="9">
        <v>35.99</v>
      </c>
      <c r="E32" s="8" t="s">
        <v>2048</v>
      </c>
      <c r="F32" s="7" t="s">
        <v>2390</v>
      </c>
      <c r="G32" s="10"/>
      <c r="H32" s="7" t="s">
        <v>2391</v>
      </c>
      <c r="I32" s="7" t="s">
        <v>2409</v>
      </c>
      <c r="J32" s="7" t="s">
        <v>2363</v>
      </c>
      <c r="K32" s="7" t="s">
        <v>2913</v>
      </c>
      <c r="L32" s="11" t="str">
        <f>HYPERLINK("http://slimages.macys.com/is/image/MCY/8216605 ")</f>
        <v xml:space="preserve">http://slimages.macys.com/is/image/MCY/8216605 </v>
      </c>
    </row>
    <row r="33" spans="1:12" ht="39.950000000000003" customHeight="1" x14ac:dyDescent="0.25">
      <c r="A33" s="6" t="s">
        <v>2049</v>
      </c>
      <c r="B33" s="7" t="s">
        <v>2050</v>
      </c>
      <c r="C33" s="8">
        <v>1</v>
      </c>
      <c r="D33" s="9">
        <v>31.99</v>
      </c>
      <c r="E33" s="8" t="s">
        <v>2051</v>
      </c>
      <c r="F33" s="7" t="s">
        <v>2477</v>
      </c>
      <c r="G33" s="10"/>
      <c r="H33" s="7" t="s">
        <v>2391</v>
      </c>
      <c r="I33" s="7" t="s">
        <v>2409</v>
      </c>
      <c r="J33" s="7" t="s">
        <v>2363</v>
      </c>
      <c r="K33" s="7"/>
      <c r="L33" s="11" t="str">
        <f>HYPERLINK("http://slimages.macys.com/is/image/MCY/9912809 ")</f>
        <v xml:space="preserve">http://slimages.macys.com/is/image/MCY/9912809 </v>
      </c>
    </row>
    <row r="34" spans="1:12" ht="39.950000000000003" customHeight="1" x14ac:dyDescent="0.25">
      <c r="A34" s="6" t="s">
        <v>2052</v>
      </c>
      <c r="B34" s="7" t="s">
        <v>2053</v>
      </c>
      <c r="C34" s="8">
        <v>1</v>
      </c>
      <c r="D34" s="9">
        <v>39.99</v>
      </c>
      <c r="E34" s="8" t="s">
        <v>2054</v>
      </c>
      <c r="F34" s="7" t="s">
        <v>2355</v>
      </c>
      <c r="G34" s="10"/>
      <c r="H34" s="7" t="s">
        <v>2391</v>
      </c>
      <c r="I34" s="7" t="s">
        <v>2515</v>
      </c>
      <c r="J34" s="7" t="s">
        <v>2363</v>
      </c>
      <c r="K34" s="7" t="s">
        <v>2385</v>
      </c>
      <c r="L34" s="11" t="str">
        <f>HYPERLINK("http://slimages.macys.com/is/image/MCY/16495420 ")</f>
        <v xml:space="preserve">http://slimages.macys.com/is/image/MCY/16495420 </v>
      </c>
    </row>
    <row r="35" spans="1:12" ht="39.950000000000003" customHeight="1" x14ac:dyDescent="0.25">
      <c r="A35" s="6" t="s">
        <v>2055</v>
      </c>
      <c r="B35" s="7" t="s">
        <v>2056</v>
      </c>
      <c r="C35" s="8">
        <v>1</v>
      </c>
      <c r="D35" s="9">
        <v>29.99</v>
      </c>
      <c r="E35" s="8">
        <v>55383</v>
      </c>
      <c r="F35" s="7" t="s">
        <v>2436</v>
      </c>
      <c r="G35" s="10"/>
      <c r="H35" s="7" t="s">
        <v>2391</v>
      </c>
      <c r="I35" s="7" t="s">
        <v>2456</v>
      </c>
      <c r="J35" s="7" t="s">
        <v>2363</v>
      </c>
      <c r="K35" s="7"/>
      <c r="L35" s="11" t="str">
        <f>HYPERLINK("http://slimages.macys.com/is/image/MCY/9643964 ")</f>
        <v xml:space="preserve">http://slimages.macys.com/is/image/MCY/9643964 </v>
      </c>
    </row>
    <row r="36" spans="1:12" ht="39.950000000000003" customHeight="1" x14ac:dyDescent="0.25">
      <c r="A36" s="6" t="s">
        <v>2057</v>
      </c>
      <c r="B36" s="7" t="s">
        <v>2058</v>
      </c>
      <c r="C36" s="8">
        <v>2</v>
      </c>
      <c r="D36" s="9">
        <v>63.98</v>
      </c>
      <c r="E36" s="8">
        <v>55400</v>
      </c>
      <c r="F36" s="7" t="s">
        <v>2368</v>
      </c>
      <c r="G36" s="10"/>
      <c r="H36" s="7" t="s">
        <v>2391</v>
      </c>
      <c r="I36" s="7" t="s">
        <v>2456</v>
      </c>
      <c r="J36" s="7" t="s">
        <v>2363</v>
      </c>
      <c r="K36" s="7" t="s">
        <v>2385</v>
      </c>
      <c r="L36" s="11" t="str">
        <f>HYPERLINK("http://slimages.macys.com/is/image/MCY/9644106 ")</f>
        <v xml:space="preserve">http://slimages.macys.com/is/image/MCY/9644106 </v>
      </c>
    </row>
    <row r="37" spans="1:12" ht="39.950000000000003" customHeight="1" x14ac:dyDescent="0.25">
      <c r="A37" s="6" t="s">
        <v>2059</v>
      </c>
      <c r="B37" s="7" t="s">
        <v>2060</v>
      </c>
      <c r="C37" s="8">
        <v>1</v>
      </c>
      <c r="D37" s="9">
        <v>34.99</v>
      </c>
      <c r="E37" s="8" t="s">
        <v>2061</v>
      </c>
      <c r="F37" s="7" t="s">
        <v>2355</v>
      </c>
      <c r="G37" s="10" t="s">
        <v>2840</v>
      </c>
      <c r="H37" s="7" t="s">
        <v>2396</v>
      </c>
      <c r="I37" s="7" t="s">
        <v>2397</v>
      </c>
      <c r="J37" s="7" t="s">
        <v>2363</v>
      </c>
      <c r="K37" s="7" t="s">
        <v>2402</v>
      </c>
      <c r="L37" s="11" t="str">
        <f>HYPERLINK("http://slimages.macys.com/is/image/MCY/8456177 ")</f>
        <v xml:space="preserve">http://slimages.macys.com/is/image/MCY/8456177 </v>
      </c>
    </row>
    <row r="38" spans="1:12" ht="39.950000000000003" customHeight="1" x14ac:dyDescent="0.25">
      <c r="A38" s="6" t="s">
        <v>2062</v>
      </c>
      <c r="B38" s="7" t="s">
        <v>2063</v>
      </c>
      <c r="C38" s="8">
        <v>2</v>
      </c>
      <c r="D38" s="9">
        <v>63.98</v>
      </c>
      <c r="E38" s="8" t="s">
        <v>2064</v>
      </c>
      <c r="F38" s="7" t="s">
        <v>2379</v>
      </c>
      <c r="G38" s="10"/>
      <c r="H38" s="7" t="s">
        <v>2391</v>
      </c>
      <c r="I38" s="7" t="s">
        <v>2409</v>
      </c>
      <c r="J38" s="7" t="s">
        <v>2363</v>
      </c>
      <c r="K38" s="7" t="s">
        <v>2385</v>
      </c>
      <c r="L38" s="11" t="str">
        <f>HYPERLINK("http://slimages.macys.com/is/image/MCY/16396543 ")</f>
        <v xml:space="preserve">http://slimages.macys.com/is/image/MCY/16396543 </v>
      </c>
    </row>
    <row r="39" spans="1:12" ht="39.950000000000003" customHeight="1" x14ac:dyDescent="0.25">
      <c r="A39" s="6" t="s">
        <v>2065</v>
      </c>
      <c r="B39" s="7" t="s">
        <v>2066</v>
      </c>
      <c r="C39" s="8">
        <v>1</v>
      </c>
      <c r="D39" s="9">
        <v>29.99</v>
      </c>
      <c r="E39" s="8" t="s">
        <v>2067</v>
      </c>
      <c r="F39" s="7"/>
      <c r="G39" s="10"/>
      <c r="H39" s="7" t="s">
        <v>2369</v>
      </c>
      <c r="I39" s="7" t="s">
        <v>2431</v>
      </c>
      <c r="J39" s="7"/>
      <c r="K39" s="7"/>
      <c r="L39" s="11" t="str">
        <f>HYPERLINK("http://slimages.macys.com/is/image/MCY/17887650 ")</f>
        <v xml:space="preserve">http://slimages.macys.com/is/image/MCY/17887650 </v>
      </c>
    </row>
    <row r="40" spans="1:12" ht="39.950000000000003" customHeight="1" x14ac:dyDescent="0.25">
      <c r="A40" s="6" t="s">
        <v>2068</v>
      </c>
      <c r="B40" s="7" t="s">
        <v>2069</v>
      </c>
      <c r="C40" s="8">
        <v>1</v>
      </c>
      <c r="D40" s="9">
        <v>29.99</v>
      </c>
      <c r="E40" s="8" t="s">
        <v>2070</v>
      </c>
      <c r="F40" s="7"/>
      <c r="G40" s="10"/>
      <c r="H40" s="7" t="s">
        <v>2369</v>
      </c>
      <c r="I40" s="7" t="s">
        <v>2431</v>
      </c>
      <c r="J40" s="7"/>
      <c r="K40" s="7"/>
      <c r="L40" s="11" t="str">
        <f>HYPERLINK("http://slimages.macys.com/is/image/MCY/17892833 ")</f>
        <v xml:space="preserve">http://slimages.macys.com/is/image/MCY/17892833 </v>
      </c>
    </row>
    <row r="41" spans="1:12" ht="39.950000000000003" customHeight="1" x14ac:dyDescent="0.25">
      <c r="A41" s="6" t="s">
        <v>2071</v>
      </c>
      <c r="B41" s="7" t="s">
        <v>2072</v>
      </c>
      <c r="C41" s="8">
        <v>5</v>
      </c>
      <c r="D41" s="9">
        <v>149.94999999999999</v>
      </c>
      <c r="E41" s="8" t="s">
        <v>2073</v>
      </c>
      <c r="F41" s="7"/>
      <c r="G41" s="10"/>
      <c r="H41" s="7" t="s">
        <v>2369</v>
      </c>
      <c r="I41" s="7" t="s">
        <v>2431</v>
      </c>
      <c r="J41" s="7" t="s">
        <v>2363</v>
      </c>
      <c r="K41" s="7" t="s">
        <v>2385</v>
      </c>
      <c r="L41" s="11" t="str">
        <f>HYPERLINK("http://slimages.macys.com/is/image/MCY/16688482 ")</f>
        <v xml:space="preserve">http://slimages.macys.com/is/image/MCY/16688482 </v>
      </c>
    </row>
    <row r="42" spans="1:12" ht="39.950000000000003" customHeight="1" x14ac:dyDescent="0.25">
      <c r="A42" s="6" t="s">
        <v>2074</v>
      </c>
      <c r="B42" s="7" t="s">
        <v>2075</v>
      </c>
      <c r="C42" s="8">
        <v>1</v>
      </c>
      <c r="D42" s="9">
        <v>29.99</v>
      </c>
      <c r="E42" s="8" t="s">
        <v>2076</v>
      </c>
      <c r="F42" s="7" t="s">
        <v>2355</v>
      </c>
      <c r="G42" s="10"/>
      <c r="H42" s="7" t="s">
        <v>2383</v>
      </c>
      <c r="I42" s="7" t="s">
        <v>2384</v>
      </c>
      <c r="J42" s="7" t="s">
        <v>2363</v>
      </c>
      <c r="K42" s="7"/>
      <c r="L42" s="11" t="str">
        <f>HYPERLINK("http://slimages.macys.com/is/image/MCY/9312029 ")</f>
        <v xml:space="preserve">http://slimages.macys.com/is/image/MCY/9312029 </v>
      </c>
    </row>
    <row r="43" spans="1:12" ht="39.950000000000003" customHeight="1" x14ac:dyDescent="0.25">
      <c r="A43" s="6" t="s">
        <v>2077</v>
      </c>
      <c r="B43" s="7" t="s">
        <v>2078</v>
      </c>
      <c r="C43" s="8">
        <v>1</v>
      </c>
      <c r="D43" s="9">
        <v>22.99</v>
      </c>
      <c r="E43" s="8">
        <v>101821729</v>
      </c>
      <c r="F43" s="7" t="s">
        <v>2573</v>
      </c>
      <c r="G43" s="10"/>
      <c r="H43" s="7" t="s">
        <v>2532</v>
      </c>
      <c r="I43" s="7" t="s">
        <v>2079</v>
      </c>
      <c r="J43" s="7" t="s">
        <v>2363</v>
      </c>
      <c r="K43" s="7" t="s">
        <v>2080</v>
      </c>
      <c r="L43" s="11" t="str">
        <f>HYPERLINK("http://slimages.macys.com/is/image/MCY/12353749 ")</f>
        <v xml:space="preserve">http://slimages.macys.com/is/image/MCY/12353749 </v>
      </c>
    </row>
    <row r="44" spans="1:12" ht="39.950000000000003" customHeight="1" x14ac:dyDescent="0.25">
      <c r="A44" s="6" t="s">
        <v>2081</v>
      </c>
      <c r="B44" s="7" t="s">
        <v>2082</v>
      </c>
      <c r="C44" s="8">
        <v>1</v>
      </c>
      <c r="D44" s="9">
        <v>21.99</v>
      </c>
      <c r="E44" s="8">
        <v>50737</v>
      </c>
      <c r="F44" s="7" t="s">
        <v>2436</v>
      </c>
      <c r="G44" s="10"/>
      <c r="H44" s="7" t="s">
        <v>2391</v>
      </c>
      <c r="I44" s="7" t="s">
        <v>2456</v>
      </c>
      <c r="J44" s="7" t="s">
        <v>2363</v>
      </c>
      <c r="K44" s="7"/>
      <c r="L44" s="11" t="str">
        <f>HYPERLINK("http://slimages.macys.com/is/image/MCY/9972663 ")</f>
        <v xml:space="preserve">http://slimages.macys.com/is/image/MCY/9972663 </v>
      </c>
    </row>
    <row r="45" spans="1:12" ht="39.950000000000003" customHeight="1" x14ac:dyDescent="0.25">
      <c r="A45" s="6" t="s">
        <v>2083</v>
      </c>
      <c r="B45" s="7" t="s">
        <v>2084</v>
      </c>
      <c r="C45" s="8">
        <v>1</v>
      </c>
      <c r="D45" s="9">
        <v>18.989999999999998</v>
      </c>
      <c r="E45" s="8" t="s">
        <v>2085</v>
      </c>
      <c r="F45" s="7" t="s">
        <v>2435</v>
      </c>
      <c r="G45" s="10"/>
      <c r="H45" s="7" t="s">
        <v>2387</v>
      </c>
      <c r="I45" s="7" t="s">
        <v>2559</v>
      </c>
      <c r="J45" s="7" t="s">
        <v>2363</v>
      </c>
      <c r="K45" s="7" t="s">
        <v>2385</v>
      </c>
      <c r="L45" s="11" t="str">
        <f>HYPERLINK("http://slimages.macys.com/is/image/MCY/3162549 ")</f>
        <v xml:space="preserve">http://slimages.macys.com/is/image/MCY/3162549 </v>
      </c>
    </row>
    <row r="46" spans="1:12" ht="39.950000000000003" customHeight="1" x14ac:dyDescent="0.25">
      <c r="A46" s="6" t="s">
        <v>2086</v>
      </c>
      <c r="B46" s="7" t="s">
        <v>2087</v>
      </c>
      <c r="C46" s="8">
        <v>1</v>
      </c>
      <c r="D46" s="9">
        <v>18.989999999999998</v>
      </c>
      <c r="E46" s="8">
        <v>52794</v>
      </c>
      <c r="F46" s="7" t="s">
        <v>2355</v>
      </c>
      <c r="G46" s="10"/>
      <c r="H46" s="7" t="s">
        <v>2391</v>
      </c>
      <c r="I46" s="7" t="s">
        <v>2456</v>
      </c>
      <c r="J46" s="7" t="s">
        <v>2363</v>
      </c>
      <c r="K46" s="7"/>
      <c r="L46" s="11" t="str">
        <f>HYPERLINK("http://slimages.macys.com/is/image/MCY/9972657 ")</f>
        <v xml:space="preserve">http://slimages.macys.com/is/image/MCY/9972657 </v>
      </c>
    </row>
    <row r="47" spans="1:12" ht="39.950000000000003" customHeight="1" x14ac:dyDescent="0.25">
      <c r="A47" s="6" t="s">
        <v>2088</v>
      </c>
      <c r="B47" s="7" t="s">
        <v>2089</v>
      </c>
      <c r="C47" s="8">
        <v>1</v>
      </c>
      <c r="D47" s="9">
        <v>19.989999999999998</v>
      </c>
      <c r="E47" s="8">
        <v>21102</v>
      </c>
      <c r="F47" s="7" t="s">
        <v>2355</v>
      </c>
      <c r="G47" s="10"/>
      <c r="H47" s="7" t="s">
        <v>2407</v>
      </c>
      <c r="I47" s="7" t="s">
        <v>2462</v>
      </c>
      <c r="J47" s="7"/>
      <c r="K47" s="7"/>
      <c r="L47" s="11" t="str">
        <f>HYPERLINK("http://slimages.macys.com/is/image/MCY/17673737 ")</f>
        <v xml:space="preserve">http://slimages.macys.com/is/image/MCY/17673737 </v>
      </c>
    </row>
    <row r="48" spans="1:12" ht="39.950000000000003" customHeight="1" x14ac:dyDescent="0.25">
      <c r="A48" s="6" t="s">
        <v>2090</v>
      </c>
      <c r="B48" s="7" t="s">
        <v>2091</v>
      </c>
      <c r="C48" s="8">
        <v>1</v>
      </c>
      <c r="D48" s="9">
        <v>16.989999999999998</v>
      </c>
      <c r="E48" s="8" t="s">
        <v>2092</v>
      </c>
      <c r="F48" s="7" t="s">
        <v>2505</v>
      </c>
      <c r="G48" s="10"/>
      <c r="H48" s="7" t="s">
        <v>2387</v>
      </c>
      <c r="I48" s="7" t="s">
        <v>2559</v>
      </c>
      <c r="J48" s="7" t="s">
        <v>2363</v>
      </c>
      <c r="K48" s="7" t="s">
        <v>2385</v>
      </c>
      <c r="L48" s="11" t="str">
        <f>HYPERLINK("http://slimages.macys.com/is/image/MCY/3162549 ")</f>
        <v xml:space="preserve">http://slimages.macys.com/is/image/MCY/3162549 </v>
      </c>
    </row>
    <row r="49" spans="1:12" ht="39.950000000000003" customHeight="1" x14ac:dyDescent="0.25">
      <c r="A49" s="6" t="s">
        <v>2093</v>
      </c>
      <c r="B49" s="7" t="s">
        <v>2094</v>
      </c>
      <c r="C49" s="8">
        <v>1</v>
      </c>
      <c r="D49" s="9">
        <v>11.99</v>
      </c>
      <c r="E49" s="8">
        <v>50981</v>
      </c>
      <c r="F49" s="7" t="s">
        <v>1707</v>
      </c>
      <c r="G49" s="10"/>
      <c r="H49" s="7" t="s">
        <v>2391</v>
      </c>
      <c r="I49" s="7" t="s">
        <v>2456</v>
      </c>
      <c r="J49" s="7" t="s">
        <v>2363</v>
      </c>
      <c r="K49" s="7" t="s">
        <v>2385</v>
      </c>
      <c r="L49" s="11" t="str">
        <f>HYPERLINK("http://slimages.macys.com/is/image/MCY/8745259 ")</f>
        <v xml:space="preserve">http://slimages.macys.com/is/image/MCY/8745259 </v>
      </c>
    </row>
    <row r="50" spans="1:12" ht="39.950000000000003" customHeight="1" x14ac:dyDescent="0.25">
      <c r="A50" s="6" t="s">
        <v>2095</v>
      </c>
      <c r="B50" s="7" t="s">
        <v>2096</v>
      </c>
      <c r="C50" s="8">
        <v>1</v>
      </c>
      <c r="D50" s="9">
        <v>39.99</v>
      </c>
      <c r="E50" s="8" t="s">
        <v>2097</v>
      </c>
      <c r="F50" s="7" t="s">
        <v>2615</v>
      </c>
      <c r="G50" s="10"/>
      <c r="H50" s="7" t="s">
        <v>2396</v>
      </c>
      <c r="I50" s="7" t="s">
        <v>2397</v>
      </c>
      <c r="J50" s="7" t="s">
        <v>2363</v>
      </c>
      <c r="K50" s="7" t="s">
        <v>3003</v>
      </c>
      <c r="L50" s="11" t="str">
        <f>HYPERLINK("http://slimages.macys.com/is/image/MCY/8484844 ")</f>
        <v xml:space="preserve">http://slimages.macys.com/is/image/MCY/8484844 </v>
      </c>
    </row>
    <row r="51" spans="1:12" ht="39.950000000000003" customHeight="1" x14ac:dyDescent="0.25">
      <c r="A51" s="6" t="s">
        <v>2098</v>
      </c>
      <c r="B51" s="7" t="s">
        <v>2099</v>
      </c>
      <c r="C51" s="8">
        <v>1</v>
      </c>
      <c r="D51" s="9">
        <v>13.99</v>
      </c>
      <c r="E51" s="8">
        <v>51708</v>
      </c>
      <c r="F51" s="7" t="s">
        <v>2505</v>
      </c>
      <c r="G51" s="10"/>
      <c r="H51" s="7" t="s">
        <v>2391</v>
      </c>
      <c r="I51" s="7" t="s">
        <v>2456</v>
      </c>
      <c r="J51" s="7" t="s">
        <v>2363</v>
      </c>
      <c r="K51" s="7"/>
      <c r="L51" s="11" t="str">
        <f>HYPERLINK("http://slimages.macys.com/is/image/MCY/8759720 ")</f>
        <v xml:space="preserve">http://slimages.macys.com/is/image/MCY/8759720 </v>
      </c>
    </row>
    <row r="52" spans="1:12" ht="39.950000000000003" customHeight="1" x14ac:dyDescent="0.25">
      <c r="A52" s="6" t="s">
        <v>2100</v>
      </c>
      <c r="B52" s="7" t="s">
        <v>2101</v>
      </c>
      <c r="C52" s="8">
        <v>1</v>
      </c>
      <c r="D52" s="9">
        <v>16.989999999999998</v>
      </c>
      <c r="E52" s="8" t="s">
        <v>2102</v>
      </c>
      <c r="F52" s="7" t="s">
        <v>2355</v>
      </c>
      <c r="G52" s="10" t="s">
        <v>2646</v>
      </c>
      <c r="H52" s="7" t="s">
        <v>2413</v>
      </c>
      <c r="I52" s="7" t="s">
        <v>2499</v>
      </c>
      <c r="J52" s="7"/>
      <c r="K52" s="7"/>
      <c r="L52" s="11" t="str">
        <f>HYPERLINK("http://slimages.macys.com/is/image/MCY/17933832 ")</f>
        <v xml:space="preserve">http://slimages.macys.com/is/image/MCY/17933832 </v>
      </c>
    </row>
    <row r="53" spans="1:12" ht="39.950000000000003" customHeight="1" x14ac:dyDescent="0.25">
      <c r="A53" s="6" t="s">
        <v>2103</v>
      </c>
      <c r="B53" s="7" t="s">
        <v>2104</v>
      </c>
      <c r="C53" s="8">
        <v>1</v>
      </c>
      <c r="D53" s="9">
        <v>78.11</v>
      </c>
      <c r="E53" s="8" t="s">
        <v>2105</v>
      </c>
      <c r="F53" s="7" t="s">
        <v>2468</v>
      </c>
      <c r="G53" s="10" t="s">
        <v>2469</v>
      </c>
      <c r="H53" s="7" t="s">
        <v>2391</v>
      </c>
      <c r="I53" s="7" t="s">
        <v>2926</v>
      </c>
      <c r="J53" s="7"/>
      <c r="K53" s="7"/>
      <c r="L53" s="11"/>
    </row>
    <row r="54" spans="1:12" ht="39.950000000000003" customHeight="1" x14ac:dyDescent="0.25">
      <c r="A54" s="6" t="s">
        <v>2466</v>
      </c>
      <c r="B54" s="7" t="s">
        <v>2467</v>
      </c>
      <c r="C54" s="8">
        <v>1</v>
      </c>
      <c r="D54" s="9">
        <v>40</v>
      </c>
      <c r="E54" s="8"/>
      <c r="F54" s="7" t="s">
        <v>2468</v>
      </c>
      <c r="G54" s="10" t="s">
        <v>2469</v>
      </c>
      <c r="H54" s="7" t="s">
        <v>2470</v>
      </c>
      <c r="I54" s="7" t="s">
        <v>2471</v>
      </c>
      <c r="J54" s="7"/>
      <c r="K54" s="7"/>
      <c r="L54" s="11"/>
    </row>
    <row r="55" spans="1:12" ht="39.950000000000003" customHeight="1" x14ac:dyDescent="0.25">
      <c r="A55" s="6" t="s">
        <v>2106</v>
      </c>
      <c r="B55" s="7" t="s">
        <v>2107</v>
      </c>
      <c r="C55" s="8">
        <v>1</v>
      </c>
      <c r="D55" s="9">
        <v>44.99</v>
      </c>
      <c r="E55" s="8" t="s">
        <v>2108</v>
      </c>
      <c r="F55" s="7" t="s">
        <v>2435</v>
      </c>
      <c r="G55" s="10"/>
      <c r="H55" s="7" t="s">
        <v>2532</v>
      </c>
      <c r="I55" s="7" t="s">
        <v>2409</v>
      </c>
      <c r="J55" s="7"/>
      <c r="K55" s="7"/>
      <c r="L55" s="11"/>
    </row>
  </sheetData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N56"/>
  <sheetViews>
    <sheetView workbookViewId="0">
      <selection activeCell="B44" sqref="B44"/>
    </sheetView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4" ht="39.950000000000003" customHeight="1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2109</v>
      </c>
      <c r="I1" s="5" t="s">
        <v>2110</v>
      </c>
      <c r="J1" s="5" t="s">
        <v>2350</v>
      </c>
      <c r="K1" s="5" t="s">
        <v>2351</v>
      </c>
      <c r="L1" s="5" t="s">
        <v>2352</v>
      </c>
      <c r="M1" s="5" t="s">
        <v>2353</v>
      </c>
      <c r="N1" s="5" t="s">
        <v>2354</v>
      </c>
    </row>
    <row r="2" spans="1:14" ht="39.950000000000003" customHeight="1" x14ac:dyDescent="0.25">
      <c r="A2" s="6" t="s">
        <v>2111</v>
      </c>
      <c r="B2" s="7" t="s">
        <v>2112</v>
      </c>
      <c r="C2" s="8">
        <v>1</v>
      </c>
      <c r="D2" s="9">
        <v>199.99</v>
      </c>
      <c r="E2" s="8" t="s">
        <v>2113</v>
      </c>
      <c r="F2" s="7" t="s">
        <v>2355</v>
      </c>
      <c r="G2" s="10"/>
      <c r="H2" s="9">
        <v>22.5</v>
      </c>
      <c r="I2" s="7" t="s">
        <v>2114</v>
      </c>
      <c r="J2" s="7" t="s">
        <v>2422</v>
      </c>
      <c r="K2" s="7" t="s">
        <v>2825</v>
      </c>
      <c r="L2" s="7" t="s">
        <v>2363</v>
      </c>
      <c r="M2" s="7" t="s">
        <v>2421</v>
      </c>
      <c r="N2" s="11" t="str">
        <f>HYPERLINK("http://slimages.macys.com/is/image/MCY/15381858 ")</f>
        <v xml:space="preserve">http://slimages.macys.com/is/image/MCY/15381858 </v>
      </c>
    </row>
    <row r="3" spans="1:14" ht="39.950000000000003" customHeight="1" x14ac:dyDescent="0.25">
      <c r="A3" s="6" t="s">
        <v>2115</v>
      </c>
      <c r="B3" s="7" t="s">
        <v>2116</v>
      </c>
      <c r="C3" s="8">
        <v>1</v>
      </c>
      <c r="D3" s="9">
        <v>299.99</v>
      </c>
      <c r="E3" s="8" t="s">
        <v>2117</v>
      </c>
      <c r="F3" s="7" t="s">
        <v>2424</v>
      </c>
      <c r="G3" s="10"/>
      <c r="H3" s="9">
        <v>21.107500000000002</v>
      </c>
      <c r="I3" s="7" t="s">
        <v>2114</v>
      </c>
      <c r="J3" s="7" t="s">
        <v>2357</v>
      </c>
      <c r="K3" s="7" t="s">
        <v>2593</v>
      </c>
      <c r="L3" s="7" t="s">
        <v>2363</v>
      </c>
      <c r="M3" s="7" t="s">
        <v>2800</v>
      </c>
      <c r="N3" s="11" t="str">
        <f>HYPERLINK("http://slimages.macys.com/is/image/MCY/16355823 ")</f>
        <v xml:space="preserve">http://slimages.macys.com/is/image/MCY/16355823 </v>
      </c>
    </row>
    <row r="4" spans="1:14" ht="39.950000000000003" customHeight="1" x14ac:dyDescent="0.25">
      <c r="A4" s="6" t="s">
        <v>2118</v>
      </c>
      <c r="B4" s="7" t="s">
        <v>2119</v>
      </c>
      <c r="C4" s="8">
        <v>1</v>
      </c>
      <c r="D4" s="9">
        <v>179.99</v>
      </c>
      <c r="E4" s="8">
        <v>81393</v>
      </c>
      <c r="F4" s="7" t="s">
        <v>2505</v>
      </c>
      <c r="G4" s="10"/>
      <c r="H4" s="9">
        <v>17.7075</v>
      </c>
      <c r="I4" s="7" t="s">
        <v>2114</v>
      </c>
      <c r="J4" s="7" t="s">
        <v>2369</v>
      </c>
      <c r="K4" s="7" t="s">
        <v>3015</v>
      </c>
      <c r="L4" s="7" t="s">
        <v>2363</v>
      </c>
      <c r="M4" s="7" t="s">
        <v>1897</v>
      </c>
      <c r="N4" s="11" t="str">
        <f>HYPERLINK("http://slimages.macys.com/is/image/MCY/14789644 ")</f>
        <v xml:space="preserve">http://slimages.macys.com/is/image/MCY/14789644 </v>
      </c>
    </row>
    <row r="5" spans="1:14" ht="39.950000000000003" customHeight="1" x14ac:dyDescent="0.25">
      <c r="A5" s="6" t="s">
        <v>2120</v>
      </c>
      <c r="B5" s="7" t="s">
        <v>2121</v>
      </c>
      <c r="C5" s="8">
        <v>1</v>
      </c>
      <c r="D5" s="9">
        <v>179.99</v>
      </c>
      <c r="E5" s="8">
        <v>22328222</v>
      </c>
      <c r="F5" s="7" t="s">
        <v>2368</v>
      </c>
      <c r="G5" s="10"/>
      <c r="H5" s="9">
        <v>16.36</v>
      </c>
      <c r="I5" s="7" t="s">
        <v>2114</v>
      </c>
      <c r="J5" s="7" t="s">
        <v>2369</v>
      </c>
      <c r="K5" s="7" t="s">
        <v>2370</v>
      </c>
      <c r="L5" s="7"/>
      <c r="M5" s="7"/>
      <c r="N5" s="11" t="str">
        <f>HYPERLINK("http://slimages.macys.com/is/image/MCY/17257893 ")</f>
        <v xml:space="preserve">http://slimages.macys.com/is/image/MCY/17257893 </v>
      </c>
    </row>
    <row r="6" spans="1:14" ht="39.950000000000003" customHeight="1" x14ac:dyDescent="0.25">
      <c r="A6" s="6" t="s">
        <v>2122</v>
      </c>
      <c r="B6" s="7" t="s">
        <v>2123</v>
      </c>
      <c r="C6" s="8">
        <v>1</v>
      </c>
      <c r="D6" s="9">
        <v>149.99</v>
      </c>
      <c r="E6" s="8" t="s">
        <v>2124</v>
      </c>
      <c r="F6" s="7" t="s">
        <v>2495</v>
      </c>
      <c r="G6" s="10"/>
      <c r="H6" s="9">
        <v>15.1875</v>
      </c>
      <c r="I6" s="7" t="s">
        <v>2114</v>
      </c>
      <c r="J6" s="7" t="s">
        <v>2369</v>
      </c>
      <c r="K6" s="7" t="s">
        <v>2409</v>
      </c>
      <c r="L6" s="7" t="s">
        <v>2363</v>
      </c>
      <c r="M6" s="7" t="s">
        <v>2125</v>
      </c>
      <c r="N6" s="11" t="str">
        <f>HYPERLINK("http://slimages.macys.com/is/image/MCY/9500083 ")</f>
        <v xml:space="preserve">http://slimages.macys.com/is/image/MCY/9500083 </v>
      </c>
    </row>
    <row r="7" spans="1:14" ht="39.950000000000003" customHeight="1" x14ac:dyDescent="0.25">
      <c r="A7" s="6" t="s">
        <v>2126</v>
      </c>
      <c r="B7" s="7" t="s">
        <v>2127</v>
      </c>
      <c r="C7" s="8">
        <v>1</v>
      </c>
      <c r="D7" s="9">
        <v>119.99</v>
      </c>
      <c r="E7" s="8" t="s">
        <v>2128</v>
      </c>
      <c r="F7" s="7" t="s">
        <v>2368</v>
      </c>
      <c r="G7" s="10"/>
      <c r="H7" s="9">
        <v>14.057499999999999</v>
      </c>
      <c r="I7" s="7" t="s">
        <v>2114</v>
      </c>
      <c r="J7" s="7" t="s">
        <v>2432</v>
      </c>
      <c r="K7" s="7" t="s">
        <v>2453</v>
      </c>
      <c r="L7" s="7" t="s">
        <v>2363</v>
      </c>
      <c r="M7" s="7"/>
      <c r="N7" s="11" t="str">
        <f>HYPERLINK("http://slimages.macys.com/is/image/MCY/8400761 ")</f>
        <v xml:space="preserve">http://slimages.macys.com/is/image/MCY/8400761 </v>
      </c>
    </row>
    <row r="8" spans="1:14" ht="39.950000000000003" customHeight="1" x14ac:dyDescent="0.25">
      <c r="A8" s="6" t="s">
        <v>2478</v>
      </c>
      <c r="B8" s="7" t="s">
        <v>2479</v>
      </c>
      <c r="C8" s="8">
        <v>1</v>
      </c>
      <c r="D8" s="9">
        <v>109.99</v>
      </c>
      <c r="E8" s="8" t="s">
        <v>2480</v>
      </c>
      <c r="F8" s="7" t="s">
        <v>2481</v>
      </c>
      <c r="G8" s="10"/>
      <c r="H8" s="9">
        <v>12.994999999999999</v>
      </c>
      <c r="I8" s="7" t="s">
        <v>2114</v>
      </c>
      <c r="J8" s="7" t="s">
        <v>2432</v>
      </c>
      <c r="K8" s="7" t="s">
        <v>2453</v>
      </c>
      <c r="L8" s="7"/>
      <c r="M8" s="7"/>
      <c r="N8" s="11" t="str">
        <f>HYPERLINK("http://slimages.macys.com/is/image/MCY/17964288 ")</f>
        <v xml:space="preserve">http://slimages.macys.com/is/image/MCY/17964288 </v>
      </c>
    </row>
    <row r="9" spans="1:14" ht="39.950000000000003" customHeight="1" x14ac:dyDescent="0.25">
      <c r="A9" s="6" t="s">
        <v>2129</v>
      </c>
      <c r="B9" s="7" t="s">
        <v>2130</v>
      </c>
      <c r="C9" s="8">
        <v>1</v>
      </c>
      <c r="D9" s="9">
        <v>99.99</v>
      </c>
      <c r="E9" s="8">
        <v>200363</v>
      </c>
      <c r="F9" s="7" t="s">
        <v>2131</v>
      </c>
      <c r="G9" s="10"/>
      <c r="H9" s="9">
        <v>11.625</v>
      </c>
      <c r="I9" s="7" t="s">
        <v>2114</v>
      </c>
      <c r="J9" s="7" t="s">
        <v>2383</v>
      </c>
      <c r="K9" s="7" t="s">
        <v>2445</v>
      </c>
      <c r="L9" s="7" t="s">
        <v>2363</v>
      </c>
      <c r="M9" s="7" t="s">
        <v>2421</v>
      </c>
      <c r="N9" s="11" t="str">
        <f>HYPERLINK("http://slimages.macys.com/is/image/MCY/10276159 ")</f>
        <v xml:space="preserve">http://slimages.macys.com/is/image/MCY/10276159 </v>
      </c>
    </row>
    <row r="10" spans="1:14" ht="39.950000000000003" customHeight="1" x14ac:dyDescent="0.25">
      <c r="A10" s="6" t="s">
        <v>2132</v>
      </c>
      <c r="B10" s="7" t="s">
        <v>2133</v>
      </c>
      <c r="C10" s="8">
        <v>1</v>
      </c>
      <c r="D10" s="9">
        <v>119.99</v>
      </c>
      <c r="E10" s="8" t="s">
        <v>2134</v>
      </c>
      <c r="F10" s="7" t="s">
        <v>2355</v>
      </c>
      <c r="G10" s="10"/>
      <c r="H10" s="9">
        <v>11</v>
      </c>
      <c r="I10" s="7" t="s">
        <v>2114</v>
      </c>
      <c r="J10" s="7" t="s">
        <v>2486</v>
      </c>
      <c r="K10" s="7" t="s">
        <v>2585</v>
      </c>
      <c r="L10" s="7" t="s">
        <v>2363</v>
      </c>
      <c r="M10" s="7" t="s">
        <v>1792</v>
      </c>
      <c r="N10" s="11" t="str">
        <f>HYPERLINK("http://slimages.macys.com/is/image/MCY/13417209 ")</f>
        <v xml:space="preserve">http://slimages.macys.com/is/image/MCY/13417209 </v>
      </c>
    </row>
    <row r="11" spans="1:14" ht="39.950000000000003" customHeight="1" x14ac:dyDescent="0.25">
      <c r="A11" s="6" t="s">
        <v>2135</v>
      </c>
      <c r="B11" s="7" t="s">
        <v>2136</v>
      </c>
      <c r="C11" s="8">
        <v>1</v>
      </c>
      <c r="D11" s="9">
        <v>109.99</v>
      </c>
      <c r="E11" s="8" t="s">
        <v>2137</v>
      </c>
      <c r="F11" s="7" t="s">
        <v>2368</v>
      </c>
      <c r="G11" s="10"/>
      <c r="H11" s="9">
        <v>10.817500000000001</v>
      </c>
      <c r="I11" s="7" t="s">
        <v>2114</v>
      </c>
      <c r="J11" s="7" t="s">
        <v>2375</v>
      </c>
      <c r="K11" s="7" t="s">
        <v>2376</v>
      </c>
      <c r="L11" s="7" t="s">
        <v>2363</v>
      </c>
      <c r="M11" s="7"/>
      <c r="N11" s="11" t="str">
        <f>HYPERLINK("http://slimages.macys.com/is/image/MCY/8707759 ")</f>
        <v xml:space="preserve">http://slimages.macys.com/is/image/MCY/8707759 </v>
      </c>
    </row>
    <row r="12" spans="1:14" ht="39.950000000000003" customHeight="1" x14ac:dyDescent="0.25">
      <c r="A12" s="6" t="s">
        <v>2859</v>
      </c>
      <c r="B12" s="7" t="s">
        <v>2860</v>
      </c>
      <c r="C12" s="8">
        <v>1</v>
      </c>
      <c r="D12" s="9">
        <v>99.99</v>
      </c>
      <c r="E12" s="8" t="s">
        <v>2861</v>
      </c>
      <c r="F12" s="7" t="s">
        <v>2355</v>
      </c>
      <c r="G12" s="10" t="s">
        <v>2554</v>
      </c>
      <c r="H12" s="9">
        <v>9.64</v>
      </c>
      <c r="I12" s="7" t="s">
        <v>2114</v>
      </c>
      <c r="J12" s="7" t="s">
        <v>2407</v>
      </c>
      <c r="K12" s="7" t="s">
        <v>2434</v>
      </c>
      <c r="L12" s="7"/>
      <c r="M12" s="7"/>
      <c r="N12" s="11" t="str">
        <f>HYPERLINK("http://slimages.macys.com/is/image/MCY/17546449 ")</f>
        <v xml:space="preserve">http://slimages.macys.com/is/image/MCY/17546449 </v>
      </c>
    </row>
    <row r="13" spans="1:14" ht="39.950000000000003" customHeight="1" x14ac:dyDescent="0.25">
      <c r="A13" s="6" t="s">
        <v>2138</v>
      </c>
      <c r="B13" s="7" t="s">
        <v>2139</v>
      </c>
      <c r="C13" s="8">
        <v>1</v>
      </c>
      <c r="D13" s="9">
        <v>84.99</v>
      </c>
      <c r="E13" s="8" t="s">
        <v>2140</v>
      </c>
      <c r="F13" s="7" t="s">
        <v>2355</v>
      </c>
      <c r="G13" s="10"/>
      <c r="H13" s="9">
        <v>9.5342000000000002</v>
      </c>
      <c r="I13" s="7" t="s">
        <v>2114</v>
      </c>
      <c r="J13" s="7" t="s">
        <v>2420</v>
      </c>
      <c r="K13" s="7" t="s">
        <v>2621</v>
      </c>
      <c r="L13" s="7" t="s">
        <v>2363</v>
      </c>
      <c r="M13" s="7" t="s">
        <v>2625</v>
      </c>
      <c r="N13" s="11" t="str">
        <f>HYPERLINK("http://slimages.macys.com/is/image/MCY/14022428 ")</f>
        <v xml:space="preserve">http://slimages.macys.com/is/image/MCY/14022428 </v>
      </c>
    </row>
    <row r="14" spans="1:14" ht="39.950000000000003" customHeight="1" x14ac:dyDescent="0.25">
      <c r="A14" s="6" t="s">
        <v>2141</v>
      </c>
      <c r="B14" s="7" t="s">
        <v>2142</v>
      </c>
      <c r="C14" s="8">
        <v>2</v>
      </c>
      <c r="D14" s="9">
        <v>199.98</v>
      </c>
      <c r="E14" s="8" t="s">
        <v>2143</v>
      </c>
      <c r="F14" s="7" t="s">
        <v>2623</v>
      </c>
      <c r="G14" s="10"/>
      <c r="H14" s="9">
        <v>9.2125000000000004</v>
      </c>
      <c r="I14" s="7" t="s">
        <v>2114</v>
      </c>
      <c r="J14" s="7" t="s">
        <v>2396</v>
      </c>
      <c r="K14" s="7" t="s">
        <v>2397</v>
      </c>
      <c r="L14" s="7" t="s">
        <v>2363</v>
      </c>
      <c r="M14" s="7" t="s">
        <v>2398</v>
      </c>
      <c r="N14" s="11" t="str">
        <f>HYPERLINK("http://slimages.macys.com/is/image/MCY/11607139 ")</f>
        <v xml:space="preserve">http://slimages.macys.com/is/image/MCY/11607139 </v>
      </c>
    </row>
    <row r="15" spans="1:14" ht="39.950000000000003" customHeight="1" x14ac:dyDescent="0.25">
      <c r="A15" s="6" t="s">
        <v>2144</v>
      </c>
      <c r="B15" s="7" t="s">
        <v>2145</v>
      </c>
      <c r="C15" s="8">
        <v>3</v>
      </c>
      <c r="D15" s="9">
        <v>389.97</v>
      </c>
      <c r="E15" s="8" t="s">
        <v>2146</v>
      </c>
      <c r="F15" s="7" t="s">
        <v>2623</v>
      </c>
      <c r="G15" s="10"/>
      <c r="H15" s="9">
        <v>8.9124999999999996</v>
      </c>
      <c r="I15" s="7" t="s">
        <v>2114</v>
      </c>
      <c r="J15" s="7" t="s">
        <v>2396</v>
      </c>
      <c r="K15" s="7" t="s">
        <v>2397</v>
      </c>
      <c r="L15" s="7" t="s">
        <v>2363</v>
      </c>
      <c r="M15" s="7" t="s">
        <v>2491</v>
      </c>
      <c r="N15" s="11" t="str">
        <f>HYPERLINK("http://slimages.macys.com/is/image/MCY/15862594 ")</f>
        <v xml:space="preserve">http://slimages.macys.com/is/image/MCY/15862594 </v>
      </c>
    </row>
    <row r="16" spans="1:14" ht="39.950000000000003" customHeight="1" x14ac:dyDescent="0.25">
      <c r="A16" s="6" t="s">
        <v>2147</v>
      </c>
      <c r="B16" s="7" t="s">
        <v>2148</v>
      </c>
      <c r="C16" s="8">
        <v>4</v>
      </c>
      <c r="D16" s="9">
        <v>659.96</v>
      </c>
      <c r="E16" s="8" t="s">
        <v>2149</v>
      </c>
      <c r="F16" s="7" t="s">
        <v>2355</v>
      </c>
      <c r="G16" s="10" t="s">
        <v>2703</v>
      </c>
      <c r="H16" s="9">
        <v>8.2550000000000008</v>
      </c>
      <c r="I16" s="7" t="s">
        <v>2114</v>
      </c>
      <c r="J16" s="7" t="s">
        <v>2357</v>
      </c>
      <c r="K16" s="7" t="s">
        <v>2378</v>
      </c>
      <c r="L16" s="7" t="s">
        <v>2363</v>
      </c>
      <c r="M16" s="7" t="s">
        <v>2416</v>
      </c>
      <c r="N16" s="11" t="str">
        <f>HYPERLINK("http://slimages.macys.com/is/image/MCY/8182285 ")</f>
        <v xml:space="preserve">http://slimages.macys.com/is/image/MCY/8182285 </v>
      </c>
    </row>
    <row r="17" spans="1:14" ht="39.950000000000003" customHeight="1" x14ac:dyDescent="0.25">
      <c r="A17" s="6" t="s">
        <v>2150</v>
      </c>
      <c r="B17" s="7" t="s">
        <v>2151</v>
      </c>
      <c r="C17" s="8">
        <v>1</v>
      </c>
      <c r="D17" s="9">
        <v>64.989999999999995</v>
      </c>
      <c r="E17" s="8" t="s">
        <v>2152</v>
      </c>
      <c r="F17" s="7" t="s">
        <v>2498</v>
      </c>
      <c r="G17" s="10"/>
      <c r="H17" s="9">
        <v>8.25</v>
      </c>
      <c r="I17" s="7" t="s">
        <v>2114</v>
      </c>
      <c r="J17" s="7" t="s">
        <v>2387</v>
      </c>
      <c r="K17" s="7" t="s">
        <v>2153</v>
      </c>
      <c r="L17" s="7" t="s">
        <v>2363</v>
      </c>
      <c r="M17" s="7" t="s">
        <v>2544</v>
      </c>
      <c r="N17" s="11" t="str">
        <f>HYPERLINK("http://slimages.macys.com/is/image/MCY/12901054 ")</f>
        <v xml:space="preserve">http://slimages.macys.com/is/image/MCY/12901054 </v>
      </c>
    </row>
    <row r="18" spans="1:14" ht="39.950000000000003" customHeight="1" x14ac:dyDescent="0.25">
      <c r="A18" s="6" t="s">
        <v>2154</v>
      </c>
      <c r="B18" s="7" t="s">
        <v>2155</v>
      </c>
      <c r="C18" s="8">
        <v>1</v>
      </c>
      <c r="D18" s="9">
        <v>79.989999999999995</v>
      </c>
      <c r="E18" s="8">
        <v>1002341900</v>
      </c>
      <c r="F18" s="7" t="s">
        <v>2495</v>
      </c>
      <c r="G18" s="10"/>
      <c r="H18" s="9">
        <v>7.5608000000000004</v>
      </c>
      <c r="I18" s="7" t="s">
        <v>2114</v>
      </c>
      <c r="J18" s="7" t="s">
        <v>2442</v>
      </c>
      <c r="K18" s="7" t="s">
        <v>2443</v>
      </c>
      <c r="L18" s="7" t="s">
        <v>2363</v>
      </c>
      <c r="M18" s="7" t="s">
        <v>2421</v>
      </c>
      <c r="N18" s="11" t="str">
        <f>HYPERLINK("http://slimages.macys.com/is/image/MCY/9971657 ")</f>
        <v xml:space="preserve">http://slimages.macys.com/is/image/MCY/9971657 </v>
      </c>
    </row>
    <row r="19" spans="1:14" ht="39.950000000000003" customHeight="1" x14ac:dyDescent="0.25">
      <c r="A19" s="6" t="s">
        <v>2156</v>
      </c>
      <c r="B19" s="7" t="s">
        <v>2157</v>
      </c>
      <c r="C19" s="8">
        <v>2</v>
      </c>
      <c r="D19" s="9">
        <v>199.98</v>
      </c>
      <c r="E19" s="8" t="s">
        <v>2158</v>
      </c>
      <c r="F19" s="7" t="s">
        <v>2623</v>
      </c>
      <c r="G19" s="10"/>
      <c r="H19" s="9">
        <v>6.4974999999999996</v>
      </c>
      <c r="I19" s="7" t="s">
        <v>2114</v>
      </c>
      <c r="J19" s="7" t="s">
        <v>2396</v>
      </c>
      <c r="K19" s="7" t="s">
        <v>2397</v>
      </c>
      <c r="L19" s="7" t="s">
        <v>2363</v>
      </c>
      <c r="M19" s="7" t="s">
        <v>2491</v>
      </c>
      <c r="N19" s="11" t="str">
        <f>HYPERLINK("http://slimages.macys.com/is/image/MCY/14883564 ")</f>
        <v xml:space="preserve">http://slimages.macys.com/is/image/MCY/14883564 </v>
      </c>
    </row>
    <row r="20" spans="1:14" ht="39.950000000000003" customHeight="1" x14ac:dyDescent="0.25">
      <c r="A20" s="6" t="s">
        <v>2159</v>
      </c>
      <c r="B20" s="7" t="s">
        <v>2160</v>
      </c>
      <c r="C20" s="8">
        <v>1</v>
      </c>
      <c r="D20" s="9">
        <v>59.99</v>
      </c>
      <c r="E20" s="8" t="s">
        <v>2161</v>
      </c>
      <c r="F20" s="7" t="s">
        <v>2446</v>
      </c>
      <c r="G20" s="10"/>
      <c r="H20" s="9">
        <v>6.15</v>
      </c>
      <c r="I20" s="7" t="s">
        <v>2114</v>
      </c>
      <c r="J20" s="7" t="s">
        <v>2387</v>
      </c>
      <c r="K20" s="7" t="s">
        <v>2431</v>
      </c>
      <c r="L20" s="7" t="s">
        <v>2363</v>
      </c>
      <c r="M20" s="7" t="s">
        <v>2389</v>
      </c>
      <c r="N20" s="11" t="str">
        <f>HYPERLINK("http://slimages.macys.com/is/image/MCY/14616322 ")</f>
        <v xml:space="preserve">http://slimages.macys.com/is/image/MCY/14616322 </v>
      </c>
    </row>
    <row r="21" spans="1:14" ht="39.950000000000003" customHeight="1" x14ac:dyDescent="0.25">
      <c r="A21" s="6" t="s">
        <v>2162</v>
      </c>
      <c r="B21" s="7" t="s">
        <v>2163</v>
      </c>
      <c r="C21" s="8">
        <v>3</v>
      </c>
      <c r="D21" s="9">
        <v>209.97</v>
      </c>
      <c r="E21" s="8" t="s">
        <v>2164</v>
      </c>
      <c r="F21" s="7" t="s">
        <v>2355</v>
      </c>
      <c r="G21" s="10"/>
      <c r="H21" s="9">
        <v>6.1</v>
      </c>
      <c r="I21" s="7" t="s">
        <v>2114</v>
      </c>
      <c r="J21" s="7" t="s">
        <v>2375</v>
      </c>
      <c r="K21" s="7" t="s">
        <v>3144</v>
      </c>
      <c r="L21" s="7" t="s">
        <v>2363</v>
      </c>
      <c r="M21" s="7" t="s">
        <v>2389</v>
      </c>
      <c r="N21" s="11" t="str">
        <f>HYPERLINK("http://slimages.macys.com/is/image/MCY/17754899 ")</f>
        <v xml:space="preserve">http://slimages.macys.com/is/image/MCY/17754899 </v>
      </c>
    </row>
    <row r="22" spans="1:14" ht="39.950000000000003" customHeight="1" x14ac:dyDescent="0.25">
      <c r="A22" s="6" t="s">
        <v>2763</v>
      </c>
      <c r="B22" s="7" t="s">
        <v>2764</v>
      </c>
      <c r="C22" s="8">
        <v>1</v>
      </c>
      <c r="D22" s="9">
        <v>59.99</v>
      </c>
      <c r="E22" s="8" t="s">
        <v>2765</v>
      </c>
      <c r="F22" s="7" t="s">
        <v>2368</v>
      </c>
      <c r="G22" s="10"/>
      <c r="H22" s="9">
        <v>5.4249999999999998</v>
      </c>
      <c r="I22" s="7" t="s">
        <v>2114</v>
      </c>
      <c r="J22" s="7" t="s">
        <v>2369</v>
      </c>
      <c r="K22" s="7" t="s">
        <v>2409</v>
      </c>
      <c r="L22" s="7" t="s">
        <v>2363</v>
      </c>
      <c r="M22" s="7" t="s">
        <v>2766</v>
      </c>
      <c r="N22" s="11" t="str">
        <f>HYPERLINK("http://slimages.macys.com/is/image/MCY/9505519 ")</f>
        <v xml:space="preserve">http://slimages.macys.com/is/image/MCY/9505519 </v>
      </c>
    </row>
    <row r="23" spans="1:14" ht="39.950000000000003" customHeight="1" x14ac:dyDescent="0.25">
      <c r="A23" s="6" t="s">
        <v>2165</v>
      </c>
      <c r="B23" s="7" t="s">
        <v>2166</v>
      </c>
      <c r="C23" s="8">
        <v>1</v>
      </c>
      <c r="D23" s="9">
        <v>41.99</v>
      </c>
      <c r="E23" s="8" t="s">
        <v>2167</v>
      </c>
      <c r="F23" s="7" t="s">
        <v>2567</v>
      </c>
      <c r="G23" s="10"/>
      <c r="H23" s="9">
        <v>5.2024999999999997</v>
      </c>
      <c r="I23" s="7" t="s">
        <v>2114</v>
      </c>
      <c r="J23" s="7" t="s">
        <v>2387</v>
      </c>
      <c r="K23" s="7" t="s">
        <v>2779</v>
      </c>
      <c r="L23" s="7" t="s">
        <v>2363</v>
      </c>
      <c r="M23" s="7" t="s">
        <v>2168</v>
      </c>
      <c r="N23" s="11" t="str">
        <f>HYPERLINK("http://slimages.macys.com/is/image/MCY/10436504 ")</f>
        <v xml:space="preserve">http://slimages.macys.com/is/image/MCY/10436504 </v>
      </c>
    </row>
    <row r="24" spans="1:14" ht="39.950000000000003" customHeight="1" x14ac:dyDescent="0.25">
      <c r="A24" s="6" t="s">
        <v>2169</v>
      </c>
      <c r="B24" s="7" t="s">
        <v>2170</v>
      </c>
      <c r="C24" s="8">
        <v>2</v>
      </c>
      <c r="D24" s="9">
        <v>99.98</v>
      </c>
      <c r="E24" s="8" t="s">
        <v>2171</v>
      </c>
      <c r="F24" s="7" t="s">
        <v>2495</v>
      </c>
      <c r="G24" s="10" t="s">
        <v>2527</v>
      </c>
      <c r="H24" s="9">
        <v>4.95</v>
      </c>
      <c r="I24" s="7" t="s">
        <v>2114</v>
      </c>
      <c r="J24" s="7" t="s">
        <v>2383</v>
      </c>
      <c r="K24" s="7" t="s">
        <v>2474</v>
      </c>
      <c r="L24" s="7" t="s">
        <v>2363</v>
      </c>
      <c r="M24" s="7" t="s">
        <v>2172</v>
      </c>
      <c r="N24" s="11" t="str">
        <f>HYPERLINK("http://slimages.macys.com/is/image/MCY/12049325 ")</f>
        <v xml:space="preserve">http://slimages.macys.com/is/image/MCY/12049325 </v>
      </c>
    </row>
    <row r="25" spans="1:14" ht="39.950000000000003" customHeight="1" x14ac:dyDescent="0.25">
      <c r="A25" s="6" t="s">
        <v>2173</v>
      </c>
      <c r="B25" s="7" t="s">
        <v>2174</v>
      </c>
      <c r="C25" s="8">
        <v>2</v>
      </c>
      <c r="D25" s="9">
        <v>95.98</v>
      </c>
      <c r="E25" s="8" t="s">
        <v>2175</v>
      </c>
      <c r="F25" s="7" t="s">
        <v>2446</v>
      </c>
      <c r="G25" s="10"/>
      <c r="H25" s="9">
        <v>4.8224999999999998</v>
      </c>
      <c r="I25" s="7" t="s">
        <v>2114</v>
      </c>
      <c r="J25" s="7" t="s">
        <v>2391</v>
      </c>
      <c r="K25" s="7" t="s">
        <v>2409</v>
      </c>
      <c r="L25" s="7" t="s">
        <v>2363</v>
      </c>
      <c r="M25" s="7" t="s">
        <v>2385</v>
      </c>
      <c r="N25" s="11" t="str">
        <f>HYPERLINK("http://slimages.macys.com/is/image/MCY/16438562 ")</f>
        <v xml:space="preserve">http://slimages.macys.com/is/image/MCY/16438562 </v>
      </c>
    </row>
    <row r="26" spans="1:14" ht="39.950000000000003" customHeight="1" x14ac:dyDescent="0.25">
      <c r="A26" s="6" t="s">
        <v>2176</v>
      </c>
      <c r="B26" s="7" t="s">
        <v>2177</v>
      </c>
      <c r="C26" s="8">
        <v>1</v>
      </c>
      <c r="D26" s="9">
        <v>49.99</v>
      </c>
      <c r="E26" s="8" t="s">
        <v>2178</v>
      </c>
      <c r="F26" s="7" t="s">
        <v>2424</v>
      </c>
      <c r="G26" s="10"/>
      <c r="H26" s="9">
        <v>4.7225000000000001</v>
      </c>
      <c r="I26" s="7" t="s">
        <v>2114</v>
      </c>
      <c r="J26" s="7" t="s">
        <v>2387</v>
      </c>
      <c r="K26" s="7" t="s">
        <v>2404</v>
      </c>
      <c r="L26" s="7"/>
      <c r="M26" s="7"/>
      <c r="N26" s="11" t="str">
        <f>HYPERLINK("http://slimages.macys.com/is/image/MCY/17968749 ")</f>
        <v xml:space="preserve">http://slimages.macys.com/is/image/MCY/17968749 </v>
      </c>
    </row>
    <row r="27" spans="1:14" ht="39.950000000000003" customHeight="1" x14ac:dyDescent="0.25">
      <c r="A27" s="6" t="s">
        <v>2179</v>
      </c>
      <c r="B27" s="7" t="s">
        <v>2180</v>
      </c>
      <c r="C27" s="8">
        <v>2</v>
      </c>
      <c r="D27" s="9">
        <v>79.98</v>
      </c>
      <c r="E27" s="8" t="s">
        <v>2181</v>
      </c>
      <c r="F27" s="7" t="s">
        <v>2446</v>
      </c>
      <c r="G27" s="10" t="s">
        <v>2824</v>
      </c>
      <c r="H27" s="9">
        <v>4.25</v>
      </c>
      <c r="I27" s="7" t="s">
        <v>2114</v>
      </c>
      <c r="J27" s="7" t="s">
        <v>2422</v>
      </c>
      <c r="K27" s="7" t="s">
        <v>2825</v>
      </c>
      <c r="L27" s="7" t="s">
        <v>2363</v>
      </c>
      <c r="M27" s="7" t="s">
        <v>2402</v>
      </c>
      <c r="N27" s="11" t="str">
        <f>HYPERLINK("http://slimages.macys.com/is/image/MCY/10441017 ")</f>
        <v xml:space="preserve">http://slimages.macys.com/is/image/MCY/10441017 </v>
      </c>
    </row>
    <row r="28" spans="1:14" ht="39.950000000000003" customHeight="1" x14ac:dyDescent="0.25">
      <c r="A28" s="6" t="s">
        <v>2182</v>
      </c>
      <c r="B28" s="7" t="s">
        <v>2183</v>
      </c>
      <c r="C28" s="8">
        <v>1</v>
      </c>
      <c r="D28" s="9">
        <v>42.99</v>
      </c>
      <c r="E28" s="8" t="s">
        <v>2184</v>
      </c>
      <c r="F28" s="7" t="s">
        <v>2435</v>
      </c>
      <c r="G28" s="10"/>
      <c r="H28" s="9">
        <v>4.2175000000000002</v>
      </c>
      <c r="I28" s="7" t="s">
        <v>2114</v>
      </c>
      <c r="J28" s="7" t="s">
        <v>2391</v>
      </c>
      <c r="K28" s="7" t="s">
        <v>2653</v>
      </c>
      <c r="L28" s="7" t="s">
        <v>2363</v>
      </c>
      <c r="M28" s="7" t="s">
        <v>2385</v>
      </c>
      <c r="N28" s="11" t="str">
        <f>HYPERLINK("http://slimages.macys.com/is/image/MCY/11935137 ")</f>
        <v xml:space="preserve">http://slimages.macys.com/is/image/MCY/11935137 </v>
      </c>
    </row>
    <row r="29" spans="1:14" ht="39.950000000000003" customHeight="1" x14ac:dyDescent="0.25">
      <c r="A29" s="6" t="s">
        <v>2185</v>
      </c>
      <c r="B29" s="7" t="s">
        <v>2186</v>
      </c>
      <c r="C29" s="8">
        <v>1</v>
      </c>
      <c r="D29" s="9">
        <v>84.99</v>
      </c>
      <c r="E29" s="8" t="s">
        <v>2187</v>
      </c>
      <c r="F29" s="7" t="s">
        <v>2355</v>
      </c>
      <c r="G29" s="10" t="s">
        <v>2188</v>
      </c>
      <c r="H29" s="9">
        <v>4.2024999999999997</v>
      </c>
      <c r="I29" s="7" t="s">
        <v>2114</v>
      </c>
      <c r="J29" s="7" t="s">
        <v>2357</v>
      </c>
      <c r="K29" s="7" t="s">
        <v>2378</v>
      </c>
      <c r="L29" s="7" t="s">
        <v>2363</v>
      </c>
      <c r="M29" s="7" t="s">
        <v>2416</v>
      </c>
      <c r="N29" s="11" t="str">
        <f>HYPERLINK("http://slimages.macys.com/is/image/MCY/8182285 ")</f>
        <v xml:space="preserve">http://slimages.macys.com/is/image/MCY/8182285 </v>
      </c>
    </row>
    <row r="30" spans="1:14" ht="39.950000000000003" customHeight="1" x14ac:dyDescent="0.25">
      <c r="A30" s="6" t="s">
        <v>2189</v>
      </c>
      <c r="B30" s="7" t="s">
        <v>2190</v>
      </c>
      <c r="C30" s="8">
        <v>1</v>
      </c>
      <c r="D30" s="9">
        <v>41.99</v>
      </c>
      <c r="E30" s="8" t="s">
        <v>2191</v>
      </c>
      <c r="F30" s="7" t="s">
        <v>2495</v>
      </c>
      <c r="G30" s="10"/>
      <c r="H30" s="9">
        <v>3.9925000000000002</v>
      </c>
      <c r="I30" s="7" t="s">
        <v>2114</v>
      </c>
      <c r="J30" s="7" t="s">
        <v>2391</v>
      </c>
      <c r="K30" s="7" t="s">
        <v>2653</v>
      </c>
      <c r="L30" s="7" t="s">
        <v>2363</v>
      </c>
      <c r="M30" s="7" t="s">
        <v>2927</v>
      </c>
      <c r="N30" s="11" t="str">
        <f>HYPERLINK("http://slimages.macys.com/is/image/MCY/10165771 ")</f>
        <v xml:space="preserve">http://slimages.macys.com/is/image/MCY/10165771 </v>
      </c>
    </row>
    <row r="31" spans="1:14" ht="39.950000000000003" customHeight="1" x14ac:dyDescent="0.25">
      <c r="A31" s="6" t="s">
        <v>2862</v>
      </c>
      <c r="B31" s="7" t="s">
        <v>2863</v>
      </c>
      <c r="C31" s="8">
        <v>1</v>
      </c>
      <c r="D31" s="9">
        <v>39.99</v>
      </c>
      <c r="E31" s="8" t="s">
        <v>2864</v>
      </c>
      <c r="F31" s="7" t="s">
        <v>2623</v>
      </c>
      <c r="G31" s="10"/>
      <c r="H31" s="9">
        <v>3.8479999999999999</v>
      </c>
      <c r="I31" s="7" t="s">
        <v>2114</v>
      </c>
      <c r="J31" s="7" t="s">
        <v>2458</v>
      </c>
      <c r="K31" s="7" t="s">
        <v>2459</v>
      </c>
      <c r="L31" s="7" t="s">
        <v>2460</v>
      </c>
      <c r="M31" s="7" t="s">
        <v>2461</v>
      </c>
      <c r="N31" s="11" t="str">
        <f>HYPERLINK("http://slimages.macys.com/is/image/MCY/9898874 ")</f>
        <v xml:space="preserve">http://slimages.macys.com/is/image/MCY/9898874 </v>
      </c>
    </row>
    <row r="32" spans="1:14" ht="39.950000000000003" customHeight="1" x14ac:dyDescent="0.25">
      <c r="A32" s="6" t="s">
        <v>2192</v>
      </c>
      <c r="B32" s="7" t="s">
        <v>2863</v>
      </c>
      <c r="C32" s="8">
        <v>1</v>
      </c>
      <c r="D32" s="9">
        <v>39.99</v>
      </c>
      <c r="E32" s="8" t="s">
        <v>2193</v>
      </c>
      <c r="F32" s="7" t="s">
        <v>2386</v>
      </c>
      <c r="G32" s="10"/>
      <c r="H32" s="9">
        <v>3.8479999999999999</v>
      </c>
      <c r="I32" s="7" t="s">
        <v>2114</v>
      </c>
      <c r="J32" s="7" t="s">
        <v>2458</v>
      </c>
      <c r="K32" s="7" t="s">
        <v>2459</v>
      </c>
      <c r="L32" s="7" t="s">
        <v>2460</v>
      </c>
      <c r="M32" s="7" t="s">
        <v>2461</v>
      </c>
      <c r="N32" s="11" t="str">
        <f>HYPERLINK("http://slimages.macys.com/is/image/MCY/9898874 ")</f>
        <v xml:space="preserve">http://slimages.macys.com/is/image/MCY/9898874 </v>
      </c>
    </row>
    <row r="33" spans="1:14" ht="39.950000000000003" customHeight="1" x14ac:dyDescent="0.25">
      <c r="A33" s="6" t="s">
        <v>2194</v>
      </c>
      <c r="B33" s="7" t="s">
        <v>2195</v>
      </c>
      <c r="C33" s="8">
        <v>4</v>
      </c>
      <c r="D33" s="9">
        <v>115.96</v>
      </c>
      <c r="E33" s="8">
        <v>17790</v>
      </c>
      <c r="F33" s="7" t="s">
        <v>2506</v>
      </c>
      <c r="G33" s="10" t="s">
        <v>2469</v>
      </c>
      <c r="H33" s="9">
        <v>3.625</v>
      </c>
      <c r="I33" s="7" t="s">
        <v>2114</v>
      </c>
      <c r="J33" s="7" t="s">
        <v>2391</v>
      </c>
      <c r="K33" s="7" t="s">
        <v>2515</v>
      </c>
      <c r="L33" s="7" t="s">
        <v>2363</v>
      </c>
      <c r="M33" s="7" t="s">
        <v>2385</v>
      </c>
      <c r="N33" s="11" t="str">
        <f>HYPERLINK("http://slimages.macys.com/is/image/MCY/9316073 ")</f>
        <v xml:space="preserve">http://slimages.macys.com/is/image/MCY/9316073 </v>
      </c>
    </row>
    <row r="34" spans="1:14" ht="39.950000000000003" customHeight="1" x14ac:dyDescent="0.25">
      <c r="A34" s="6" t="s">
        <v>2196</v>
      </c>
      <c r="B34" s="7" t="s">
        <v>2197</v>
      </c>
      <c r="C34" s="8">
        <v>1</v>
      </c>
      <c r="D34" s="9">
        <v>29.99</v>
      </c>
      <c r="E34" s="8" t="s">
        <v>2198</v>
      </c>
      <c r="F34" s="7" t="s">
        <v>2457</v>
      </c>
      <c r="G34" s="10"/>
      <c r="H34" s="9">
        <v>3.6</v>
      </c>
      <c r="I34" s="7" t="s">
        <v>2114</v>
      </c>
      <c r="J34" s="7" t="s">
        <v>2391</v>
      </c>
      <c r="K34" s="7" t="s">
        <v>2515</v>
      </c>
      <c r="L34" s="7" t="s">
        <v>2363</v>
      </c>
      <c r="M34" s="7" t="s">
        <v>2927</v>
      </c>
      <c r="N34" s="11" t="str">
        <f>HYPERLINK("http://slimages.macys.com/is/image/MCY/9562349 ")</f>
        <v xml:space="preserve">http://slimages.macys.com/is/image/MCY/9562349 </v>
      </c>
    </row>
    <row r="35" spans="1:14" ht="39.950000000000003" customHeight="1" x14ac:dyDescent="0.25">
      <c r="A35" s="6" t="s">
        <v>2199</v>
      </c>
      <c r="B35" s="7" t="s">
        <v>2200</v>
      </c>
      <c r="C35" s="8">
        <v>4</v>
      </c>
      <c r="D35" s="9">
        <v>159.96</v>
      </c>
      <c r="E35" s="8" t="s">
        <v>2201</v>
      </c>
      <c r="F35" s="7" t="s">
        <v>2436</v>
      </c>
      <c r="G35" s="10" t="s">
        <v>2610</v>
      </c>
      <c r="H35" s="9">
        <v>3.51</v>
      </c>
      <c r="I35" s="7" t="s">
        <v>2114</v>
      </c>
      <c r="J35" s="7" t="s">
        <v>2383</v>
      </c>
      <c r="K35" s="7" t="s">
        <v>2849</v>
      </c>
      <c r="L35" s="7" t="s">
        <v>2363</v>
      </c>
      <c r="M35" s="7"/>
      <c r="N35" s="11" t="str">
        <f>HYPERLINK("http://slimages.macys.com/is/image/MCY/9705147 ")</f>
        <v xml:space="preserve">http://slimages.macys.com/is/image/MCY/9705147 </v>
      </c>
    </row>
    <row r="36" spans="1:14" ht="39.950000000000003" customHeight="1" x14ac:dyDescent="0.25">
      <c r="A36" s="6" t="s">
        <v>3061</v>
      </c>
      <c r="B36" s="7" t="s">
        <v>3062</v>
      </c>
      <c r="C36" s="8">
        <v>1</v>
      </c>
      <c r="D36" s="9">
        <v>39.99</v>
      </c>
      <c r="E36" s="8" t="s">
        <v>3063</v>
      </c>
      <c r="F36" s="7" t="s">
        <v>2436</v>
      </c>
      <c r="G36" s="10"/>
      <c r="H36" s="9">
        <v>3.24</v>
      </c>
      <c r="I36" s="7" t="s">
        <v>2114</v>
      </c>
      <c r="J36" s="7" t="s">
        <v>2396</v>
      </c>
      <c r="K36" s="7" t="s">
        <v>2397</v>
      </c>
      <c r="L36" s="7" t="s">
        <v>2363</v>
      </c>
      <c r="M36" s="7"/>
      <c r="N36" s="11" t="str">
        <f>HYPERLINK("http://slimages.macys.com/is/image/MCY/8432521 ")</f>
        <v xml:space="preserve">http://slimages.macys.com/is/image/MCY/8432521 </v>
      </c>
    </row>
    <row r="37" spans="1:14" ht="39.950000000000003" customHeight="1" x14ac:dyDescent="0.25">
      <c r="A37" s="6" t="s">
        <v>2202</v>
      </c>
      <c r="B37" s="7" t="s">
        <v>2203</v>
      </c>
      <c r="C37" s="8">
        <v>1</v>
      </c>
      <c r="D37" s="9">
        <v>24.99</v>
      </c>
      <c r="E37" s="8" t="s">
        <v>2204</v>
      </c>
      <c r="F37" s="7" t="s">
        <v>2386</v>
      </c>
      <c r="G37" s="10"/>
      <c r="H37" s="9">
        <v>3.0874999999999999</v>
      </c>
      <c r="I37" s="7" t="s">
        <v>2114</v>
      </c>
      <c r="J37" s="7" t="s">
        <v>2535</v>
      </c>
      <c r="K37" s="7" t="s">
        <v>2604</v>
      </c>
      <c r="L37" s="7" t="s">
        <v>2363</v>
      </c>
      <c r="M37" s="7" t="s">
        <v>2385</v>
      </c>
      <c r="N37" s="11" t="str">
        <f>HYPERLINK("http://slimages.macys.com/is/image/MCY/2861128 ")</f>
        <v xml:space="preserve">http://slimages.macys.com/is/image/MCY/2861128 </v>
      </c>
    </row>
    <row r="38" spans="1:14" ht="39.950000000000003" customHeight="1" x14ac:dyDescent="0.25">
      <c r="A38" s="6" t="s">
        <v>2670</v>
      </c>
      <c r="B38" s="7" t="s">
        <v>2671</v>
      </c>
      <c r="C38" s="8">
        <v>1</v>
      </c>
      <c r="D38" s="9">
        <v>29.99</v>
      </c>
      <c r="E38" s="8" t="s">
        <v>2672</v>
      </c>
      <c r="F38" s="7" t="s">
        <v>2512</v>
      </c>
      <c r="G38" s="10"/>
      <c r="H38" s="9">
        <v>3.0874999999999999</v>
      </c>
      <c r="I38" s="7" t="s">
        <v>2114</v>
      </c>
      <c r="J38" s="7" t="s">
        <v>2369</v>
      </c>
      <c r="K38" s="7" t="s">
        <v>2370</v>
      </c>
      <c r="L38" s="7" t="s">
        <v>2363</v>
      </c>
      <c r="M38" s="7" t="s">
        <v>2513</v>
      </c>
      <c r="N38" s="11" t="str">
        <f>HYPERLINK("http://slimages.macys.com/is/image/MCY/9700679 ")</f>
        <v xml:space="preserve">http://slimages.macys.com/is/image/MCY/9700679 </v>
      </c>
    </row>
    <row r="39" spans="1:14" ht="39.950000000000003" customHeight="1" x14ac:dyDescent="0.25">
      <c r="A39" s="6" t="s">
        <v>2205</v>
      </c>
      <c r="B39" s="7" t="s">
        <v>2206</v>
      </c>
      <c r="C39" s="8">
        <v>1</v>
      </c>
      <c r="D39" s="9">
        <v>38.99</v>
      </c>
      <c r="E39" s="8" t="s">
        <v>2207</v>
      </c>
      <c r="F39" s="7" t="s">
        <v>2355</v>
      </c>
      <c r="G39" s="10" t="s">
        <v>2606</v>
      </c>
      <c r="H39" s="9">
        <v>2.9575</v>
      </c>
      <c r="I39" s="7" t="s">
        <v>2114</v>
      </c>
      <c r="J39" s="7" t="s">
        <v>2413</v>
      </c>
      <c r="K39" s="7" t="s">
        <v>2693</v>
      </c>
      <c r="L39" s="7" t="s">
        <v>2460</v>
      </c>
      <c r="M39" s="7" t="s">
        <v>2208</v>
      </c>
      <c r="N39" s="11" t="str">
        <f>HYPERLINK("http://slimages.macys.com/is/image/MCY/9406278 ")</f>
        <v xml:space="preserve">http://slimages.macys.com/is/image/MCY/9406278 </v>
      </c>
    </row>
    <row r="40" spans="1:14" ht="39.950000000000003" customHeight="1" x14ac:dyDescent="0.25">
      <c r="A40" s="6" t="s">
        <v>2209</v>
      </c>
      <c r="B40" s="7" t="s">
        <v>2210</v>
      </c>
      <c r="C40" s="8">
        <v>1</v>
      </c>
      <c r="D40" s="9">
        <v>39.99</v>
      </c>
      <c r="E40" s="8" t="s">
        <v>2211</v>
      </c>
      <c r="F40" s="7" t="s">
        <v>2468</v>
      </c>
      <c r="G40" s="10" t="s">
        <v>2406</v>
      </c>
      <c r="H40" s="9">
        <v>2.94</v>
      </c>
      <c r="I40" s="7" t="s">
        <v>2114</v>
      </c>
      <c r="J40" s="7" t="s">
        <v>2413</v>
      </c>
      <c r="K40" s="7" t="s">
        <v>2555</v>
      </c>
      <c r="L40" s="7" t="s">
        <v>2496</v>
      </c>
      <c r="M40" s="7" t="s">
        <v>2865</v>
      </c>
      <c r="N40" s="11" t="str">
        <f>HYPERLINK("http://slimages.macys.com/is/image/MCY/256335 ")</f>
        <v xml:space="preserve">http://slimages.macys.com/is/image/MCY/256335 </v>
      </c>
    </row>
    <row r="41" spans="1:14" ht="39.950000000000003" customHeight="1" x14ac:dyDescent="0.25">
      <c r="A41" s="6" t="s">
        <v>2212</v>
      </c>
      <c r="B41" s="7" t="s">
        <v>2213</v>
      </c>
      <c r="C41" s="8">
        <v>1</v>
      </c>
      <c r="D41" s="9">
        <v>19.989999999999998</v>
      </c>
      <c r="E41" s="8" t="s">
        <v>2214</v>
      </c>
      <c r="F41" s="7" t="s">
        <v>2355</v>
      </c>
      <c r="G41" s="10" t="s">
        <v>2215</v>
      </c>
      <c r="H41" s="9">
        <v>2.7825000000000002</v>
      </c>
      <c r="I41" s="7" t="s">
        <v>2114</v>
      </c>
      <c r="J41" s="7" t="s">
        <v>2548</v>
      </c>
      <c r="K41" s="7" t="s">
        <v>2638</v>
      </c>
      <c r="L41" s="7" t="s">
        <v>2363</v>
      </c>
      <c r="M41" s="7" t="s">
        <v>2402</v>
      </c>
      <c r="N41" s="11" t="str">
        <f>HYPERLINK("http://slimages.macys.com/is/image/MCY/9962009 ")</f>
        <v xml:space="preserve">http://slimages.macys.com/is/image/MCY/9962009 </v>
      </c>
    </row>
    <row r="42" spans="1:14" ht="39.950000000000003" customHeight="1" x14ac:dyDescent="0.25">
      <c r="A42" s="6" t="s">
        <v>2216</v>
      </c>
      <c r="B42" s="7" t="s">
        <v>2217</v>
      </c>
      <c r="C42" s="8">
        <v>1</v>
      </c>
      <c r="D42" s="9">
        <v>59.99</v>
      </c>
      <c r="E42" s="8" t="s">
        <v>2218</v>
      </c>
      <c r="F42" s="7" t="s">
        <v>2362</v>
      </c>
      <c r="G42" s="10" t="s">
        <v>2219</v>
      </c>
      <c r="H42" s="9">
        <v>2.7742</v>
      </c>
      <c r="I42" s="7" t="s">
        <v>2114</v>
      </c>
      <c r="J42" s="7" t="s">
        <v>2458</v>
      </c>
      <c r="K42" s="7" t="s">
        <v>2380</v>
      </c>
      <c r="L42" s="7" t="s">
        <v>2363</v>
      </c>
      <c r="M42" s="7" t="s">
        <v>2389</v>
      </c>
      <c r="N42" s="11" t="str">
        <f>HYPERLINK("http://slimages.macys.com/is/image/MCY/3534387 ")</f>
        <v xml:space="preserve">http://slimages.macys.com/is/image/MCY/3534387 </v>
      </c>
    </row>
    <row r="43" spans="1:14" ht="39.950000000000003" customHeight="1" x14ac:dyDescent="0.25">
      <c r="A43" s="6" t="s">
        <v>2220</v>
      </c>
      <c r="B43" s="7" t="s">
        <v>2221</v>
      </c>
      <c r="C43" s="8">
        <v>1</v>
      </c>
      <c r="D43" s="9">
        <v>20.99</v>
      </c>
      <c r="E43" s="8" t="s">
        <v>2222</v>
      </c>
      <c r="F43" s="7" t="s">
        <v>2615</v>
      </c>
      <c r="G43" s="10"/>
      <c r="H43" s="9">
        <v>2.5350000000000001</v>
      </c>
      <c r="I43" s="7" t="s">
        <v>2114</v>
      </c>
      <c r="J43" s="7" t="s">
        <v>2532</v>
      </c>
      <c r="K43" s="7" t="s">
        <v>2635</v>
      </c>
      <c r="L43" s="7"/>
      <c r="M43" s="7"/>
      <c r="N43" s="11" t="str">
        <f>HYPERLINK("http://slimages.macys.com/is/image/MCY/17557482 ")</f>
        <v xml:space="preserve">http://slimages.macys.com/is/image/MCY/17557482 </v>
      </c>
    </row>
    <row r="44" spans="1:14" ht="39.950000000000003" customHeight="1" x14ac:dyDescent="0.25">
      <c r="A44" s="6" t="s">
        <v>2223</v>
      </c>
      <c r="B44" s="7" t="s">
        <v>2224</v>
      </c>
      <c r="C44" s="8">
        <v>1</v>
      </c>
      <c r="D44" s="9">
        <v>18.989999999999998</v>
      </c>
      <c r="E44" s="8" t="s">
        <v>2557</v>
      </c>
      <c r="F44" s="7" t="s">
        <v>2623</v>
      </c>
      <c r="G44" s="10"/>
      <c r="H44" s="9">
        <v>2.5299999999999998</v>
      </c>
      <c r="I44" s="7" t="s">
        <v>2114</v>
      </c>
      <c r="J44" s="7" t="s">
        <v>2387</v>
      </c>
      <c r="K44" s="7" t="s">
        <v>2559</v>
      </c>
      <c r="L44" s="7" t="s">
        <v>2363</v>
      </c>
      <c r="M44" s="7" t="s">
        <v>2385</v>
      </c>
      <c r="N44" s="11" t="str">
        <f>HYPERLINK("http://slimages.macys.com/is/image/MCY/3153811 ")</f>
        <v xml:space="preserve">http://slimages.macys.com/is/image/MCY/3153811 </v>
      </c>
    </row>
    <row r="45" spans="1:14" ht="39.950000000000003" customHeight="1" x14ac:dyDescent="0.25">
      <c r="A45" s="6" t="s">
        <v>2225</v>
      </c>
      <c r="B45" s="7" t="s">
        <v>2226</v>
      </c>
      <c r="C45" s="8">
        <v>1</v>
      </c>
      <c r="D45" s="9">
        <v>19.989999999999998</v>
      </c>
      <c r="E45" s="8">
        <v>100071553</v>
      </c>
      <c r="F45" s="7" t="s">
        <v>2623</v>
      </c>
      <c r="G45" s="10"/>
      <c r="H45" s="9">
        <v>2.2999999999999998</v>
      </c>
      <c r="I45" s="7" t="s">
        <v>2114</v>
      </c>
      <c r="J45" s="7" t="s">
        <v>2427</v>
      </c>
      <c r="K45" s="7" t="s">
        <v>2227</v>
      </c>
      <c r="L45" s="7" t="s">
        <v>2363</v>
      </c>
      <c r="M45" s="7"/>
      <c r="N45" s="11" t="str">
        <f>HYPERLINK("http://slimages.macys.com/is/image/MCY/15101702 ")</f>
        <v xml:space="preserve">http://slimages.macys.com/is/image/MCY/15101702 </v>
      </c>
    </row>
    <row r="46" spans="1:14" ht="39.950000000000003" customHeight="1" x14ac:dyDescent="0.25">
      <c r="A46" s="6" t="s">
        <v>2228</v>
      </c>
      <c r="B46" s="7" t="s">
        <v>2229</v>
      </c>
      <c r="C46" s="8">
        <v>1</v>
      </c>
      <c r="D46" s="9">
        <v>39.99</v>
      </c>
      <c r="E46" s="8" t="s">
        <v>2230</v>
      </c>
      <c r="F46" s="7" t="s">
        <v>2362</v>
      </c>
      <c r="G46" s="10"/>
      <c r="H46" s="9">
        <v>1.9239999999999999</v>
      </c>
      <c r="I46" s="7" t="s">
        <v>2114</v>
      </c>
      <c r="J46" s="7" t="s">
        <v>2458</v>
      </c>
      <c r="K46" s="7" t="s">
        <v>2380</v>
      </c>
      <c r="L46" s="7" t="s">
        <v>2363</v>
      </c>
      <c r="M46" s="7" t="s">
        <v>2389</v>
      </c>
      <c r="N46" s="11" t="str">
        <f>HYPERLINK("http://slimages.macys.com/is/image/MCY/3614592 ")</f>
        <v xml:space="preserve">http://slimages.macys.com/is/image/MCY/3614592 </v>
      </c>
    </row>
    <row r="47" spans="1:14" ht="39.950000000000003" customHeight="1" x14ac:dyDescent="0.25">
      <c r="A47" s="6" t="s">
        <v>2231</v>
      </c>
      <c r="B47" s="7" t="s">
        <v>2232</v>
      </c>
      <c r="C47" s="8">
        <v>1</v>
      </c>
      <c r="D47" s="9">
        <v>29.99</v>
      </c>
      <c r="E47" s="8" t="s">
        <v>2233</v>
      </c>
      <c r="F47" s="7" t="s">
        <v>2368</v>
      </c>
      <c r="G47" s="10"/>
      <c r="H47" s="9">
        <v>1.6950000000000001</v>
      </c>
      <c r="I47" s="7" t="s">
        <v>2114</v>
      </c>
      <c r="J47" s="7" t="s">
        <v>2375</v>
      </c>
      <c r="K47" s="7" t="s">
        <v>3144</v>
      </c>
      <c r="L47" s="7"/>
      <c r="M47" s="7"/>
      <c r="N47" s="11" t="str">
        <f>HYPERLINK("http://slimages.macys.com/is/image/MCY/17997328 ")</f>
        <v xml:space="preserve">http://slimages.macys.com/is/image/MCY/17997328 </v>
      </c>
    </row>
    <row r="48" spans="1:14" ht="39.950000000000003" customHeight="1" x14ac:dyDescent="0.25">
      <c r="A48" s="6" t="s">
        <v>2234</v>
      </c>
      <c r="B48" s="7" t="s">
        <v>2235</v>
      </c>
      <c r="C48" s="8">
        <v>1</v>
      </c>
      <c r="D48" s="9">
        <v>16.989999999999998</v>
      </c>
      <c r="E48" s="8" t="s">
        <v>2236</v>
      </c>
      <c r="F48" s="7" t="s">
        <v>2435</v>
      </c>
      <c r="G48" s="10" t="s">
        <v>1947</v>
      </c>
      <c r="H48" s="9">
        <v>1.1274999999999999</v>
      </c>
      <c r="I48" s="7" t="s">
        <v>2114</v>
      </c>
      <c r="J48" s="7" t="s">
        <v>2391</v>
      </c>
      <c r="K48" s="7" t="s">
        <v>2926</v>
      </c>
      <c r="L48" s="7" t="s">
        <v>2363</v>
      </c>
      <c r="M48" s="7" t="s">
        <v>2371</v>
      </c>
      <c r="N48" s="11" t="str">
        <f>HYPERLINK("http://slimages.macys.com/is/image/MCY/12265629 ")</f>
        <v xml:space="preserve">http://slimages.macys.com/is/image/MCY/12265629 </v>
      </c>
    </row>
    <row r="49" spans="1:14" ht="39.950000000000003" customHeight="1" x14ac:dyDescent="0.25">
      <c r="A49" s="6" t="s">
        <v>1879</v>
      </c>
      <c r="B49" s="7" t="s">
        <v>1880</v>
      </c>
      <c r="C49" s="8">
        <v>1</v>
      </c>
      <c r="D49" s="9">
        <v>9.99</v>
      </c>
      <c r="E49" s="8" t="s">
        <v>1881</v>
      </c>
      <c r="F49" s="7" t="s">
        <v>2495</v>
      </c>
      <c r="G49" s="10"/>
      <c r="H49" s="9">
        <v>0.85</v>
      </c>
      <c r="I49" s="7" t="s">
        <v>2114</v>
      </c>
      <c r="J49" s="7" t="s">
        <v>2391</v>
      </c>
      <c r="K49" s="7" t="s">
        <v>2653</v>
      </c>
      <c r="L49" s="7"/>
      <c r="M49" s="7"/>
      <c r="N49" s="11" t="str">
        <f>HYPERLINK("http://slimages.macys.com/is/image/MCY/17995889 ")</f>
        <v xml:space="preserve">http://slimages.macys.com/is/image/MCY/17995889 </v>
      </c>
    </row>
    <row r="50" spans="1:14" ht="39.950000000000003" customHeight="1" x14ac:dyDescent="0.25">
      <c r="A50" s="6" t="s">
        <v>2466</v>
      </c>
      <c r="B50" s="7" t="s">
        <v>2467</v>
      </c>
      <c r="C50" s="8">
        <v>3</v>
      </c>
      <c r="D50" s="9">
        <v>120</v>
      </c>
      <c r="E50" s="8"/>
      <c r="F50" s="7" t="s">
        <v>2468</v>
      </c>
      <c r="G50" s="10" t="s">
        <v>2469</v>
      </c>
      <c r="H50" s="9">
        <v>8.4625000000000004</v>
      </c>
      <c r="I50" s="7" t="s">
        <v>2114</v>
      </c>
      <c r="J50" s="7" t="s">
        <v>2470</v>
      </c>
      <c r="K50" s="7" t="s">
        <v>2471</v>
      </c>
      <c r="L50" s="7"/>
      <c r="M50" s="7"/>
      <c r="N50" s="11"/>
    </row>
    <row r="51" spans="1:14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4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4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4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4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4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57"/>
  <sheetViews>
    <sheetView workbookViewId="0">
      <selection activeCell="B44" sqref="B44"/>
    </sheetView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2350</v>
      </c>
      <c r="I1" s="5" t="s">
        <v>2351</v>
      </c>
      <c r="J1" s="5" t="s">
        <v>2352</v>
      </c>
      <c r="K1" s="5" t="s">
        <v>2353</v>
      </c>
      <c r="L1" s="5" t="s">
        <v>2354</v>
      </c>
    </row>
    <row r="2" spans="1:12" ht="39.950000000000003" customHeight="1" x14ac:dyDescent="0.25">
      <c r="A2" s="6" t="s">
        <v>2237</v>
      </c>
      <c r="B2" s="7" t="s">
        <v>2238</v>
      </c>
      <c r="C2" s="8">
        <v>1</v>
      </c>
      <c r="D2" s="9">
        <v>199.99</v>
      </c>
      <c r="E2" s="8" t="s">
        <v>2239</v>
      </c>
      <c r="F2" s="7" t="s">
        <v>2538</v>
      </c>
      <c r="G2" s="10"/>
      <c r="H2" s="7" t="s">
        <v>2357</v>
      </c>
      <c r="I2" s="7" t="s">
        <v>2593</v>
      </c>
      <c r="J2" s="7"/>
      <c r="K2" s="7"/>
      <c r="L2" s="11" t="str">
        <f>HYPERLINK("http://slimages.macys.com/is/image/MCY/18047466 ")</f>
        <v xml:space="preserve">http://slimages.macys.com/is/image/MCY/18047466 </v>
      </c>
    </row>
    <row r="3" spans="1:12" ht="39.950000000000003" customHeight="1" x14ac:dyDescent="0.25">
      <c r="A3" s="6" t="s">
        <v>2240</v>
      </c>
      <c r="B3" s="7" t="s">
        <v>2241</v>
      </c>
      <c r="C3" s="8">
        <v>1</v>
      </c>
      <c r="D3" s="9">
        <v>161.99</v>
      </c>
      <c r="E3" s="8" t="s">
        <v>2242</v>
      </c>
      <c r="F3" s="7" t="s">
        <v>2355</v>
      </c>
      <c r="G3" s="10"/>
      <c r="H3" s="7" t="s">
        <v>2387</v>
      </c>
      <c r="I3" s="7" t="s">
        <v>2243</v>
      </c>
      <c r="J3" s="7" t="s">
        <v>2363</v>
      </c>
      <c r="K3" s="7" t="s">
        <v>2389</v>
      </c>
      <c r="L3" s="11" t="str">
        <f>HYPERLINK("http://slimages.macys.com/is/image/MCY/16681624 ")</f>
        <v xml:space="preserve">http://slimages.macys.com/is/image/MCY/16681624 </v>
      </c>
    </row>
    <row r="4" spans="1:12" ht="39.950000000000003" customHeight="1" x14ac:dyDescent="0.25">
      <c r="A4" s="6" t="s">
        <v>2244</v>
      </c>
      <c r="B4" s="7" t="s">
        <v>2245</v>
      </c>
      <c r="C4" s="8">
        <v>1</v>
      </c>
      <c r="D4" s="9">
        <v>189.99</v>
      </c>
      <c r="E4" s="8" t="s">
        <v>2246</v>
      </c>
      <c r="F4" s="7" t="s">
        <v>2495</v>
      </c>
      <c r="G4" s="10"/>
      <c r="H4" s="7" t="s">
        <v>2383</v>
      </c>
      <c r="I4" s="7" t="s">
        <v>2384</v>
      </c>
      <c r="J4" s="7" t="s">
        <v>2363</v>
      </c>
      <c r="K4" s="7" t="s">
        <v>2371</v>
      </c>
      <c r="L4" s="11" t="str">
        <f>HYPERLINK("http://slimages.macys.com/is/image/MCY/13038744 ")</f>
        <v xml:space="preserve">http://slimages.macys.com/is/image/MCY/13038744 </v>
      </c>
    </row>
    <row r="5" spans="1:12" ht="39.950000000000003" customHeight="1" x14ac:dyDescent="0.25">
      <c r="A5" s="6" t="s">
        <v>2247</v>
      </c>
      <c r="B5" s="7" t="s">
        <v>2248</v>
      </c>
      <c r="C5" s="8">
        <v>1</v>
      </c>
      <c r="D5" s="9">
        <v>149.99</v>
      </c>
      <c r="E5" s="8" t="s">
        <v>2249</v>
      </c>
      <c r="F5" s="7" t="s">
        <v>2446</v>
      </c>
      <c r="G5" s="10"/>
      <c r="H5" s="7" t="s">
        <v>2432</v>
      </c>
      <c r="I5" s="7" t="s">
        <v>2250</v>
      </c>
      <c r="J5" s="7" t="s">
        <v>2363</v>
      </c>
      <c r="K5" s="7" t="s">
        <v>2389</v>
      </c>
      <c r="L5" s="11" t="str">
        <f>HYPERLINK("http://slimages.macys.com/is/image/MCY/13830846 ")</f>
        <v xml:space="preserve">http://slimages.macys.com/is/image/MCY/13830846 </v>
      </c>
    </row>
    <row r="6" spans="1:12" ht="39.950000000000003" customHeight="1" x14ac:dyDescent="0.25">
      <c r="A6" s="6" t="s">
        <v>2251</v>
      </c>
      <c r="B6" s="7" t="s">
        <v>2252</v>
      </c>
      <c r="C6" s="8">
        <v>1</v>
      </c>
      <c r="D6" s="9">
        <v>139.99</v>
      </c>
      <c r="E6" s="8" t="s">
        <v>2253</v>
      </c>
      <c r="F6" s="7" t="s">
        <v>2355</v>
      </c>
      <c r="G6" s="10"/>
      <c r="H6" s="7" t="s">
        <v>2432</v>
      </c>
      <c r="I6" s="7" t="s">
        <v>2453</v>
      </c>
      <c r="J6" s="7" t="s">
        <v>2363</v>
      </c>
      <c r="K6" s="7" t="s">
        <v>2405</v>
      </c>
      <c r="L6" s="11" t="str">
        <f>HYPERLINK("http://slimages.macys.com/is/image/MCY/8399898 ")</f>
        <v xml:space="preserve">http://slimages.macys.com/is/image/MCY/8399898 </v>
      </c>
    </row>
    <row r="7" spans="1:12" ht="39.950000000000003" customHeight="1" x14ac:dyDescent="0.25">
      <c r="A7" s="6" t="s">
        <v>2873</v>
      </c>
      <c r="B7" s="7" t="s">
        <v>2874</v>
      </c>
      <c r="C7" s="8">
        <v>1</v>
      </c>
      <c r="D7" s="9">
        <v>199.99</v>
      </c>
      <c r="E7" s="8" t="s">
        <v>2875</v>
      </c>
      <c r="F7" s="7" t="s">
        <v>2355</v>
      </c>
      <c r="G7" s="10"/>
      <c r="H7" s="7" t="s">
        <v>2545</v>
      </c>
      <c r="I7" s="7" t="s">
        <v>2524</v>
      </c>
      <c r="J7" s="7" t="s">
        <v>2363</v>
      </c>
      <c r="K7" s="7"/>
      <c r="L7" s="11" t="str">
        <f>HYPERLINK("http://slimages.macys.com/is/image/MCY/2355760 ")</f>
        <v xml:space="preserve">http://slimages.macys.com/is/image/MCY/2355760 </v>
      </c>
    </row>
    <row r="8" spans="1:12" ht="39.950000000000003" customHeight="1" x14ac:dyDescent="0.25">
      <c r="A8" s="6" t="s">
        <v>2254</v>
      </c>
      <c r="B8" s="7" t="s">
        <v>2255</v>
      </c>
      <c r="C8" s="8">
        <v>1</v>
      </c>
      <c r="D8" s="9">
        <v>149.99</v>
      </c>
      <c r="E8" s="8" t="s">
        <v>2256</v>
      </c>
      <c r="F8" s="7" t="s">
        <v>2446</v>
      </c>
      <c r="G8" s="10"/>
      <c r="H8" s="7" t="s">
        <v>2396</v>
      </c>
      <c r="I8" s="7" t="s">
        <v>2397</v>
      </c>
      <c r="J8" s="7"/>
      <c r="K8" s="7"/>
      <c r="L8" s="11" t="str">
        <f>HYPERLINK("http://slimages.macys.com/is/image/MCY/17885596 ")</f>
        <v xml:space="preserve">http://slimages.macys.com/is/image/MCY/17885596 </v>
      </c>
    </row>
    <row r="9" spans="1:12" ht="39.950000000000003" customHeight="1" x14ac:dyDescent="0.25">
      <c r="A9" s="6" t="s">
        <v>2257</v>
      </c>
      <c r="B9" s="7" t="s">
        <v>2258</v>
      </c>
      <c r="C9" s="8">
        <v>1</v>
      </c>
      <c r="D9" s="9">
        <v>119.99</v>
      </c>
      <c r="E9" s="8" t="s">
        <v>2259</v>
      </c>
      <c r="F9" s="7" t="s">
        <v>2436</v>
      </c>
      <c r="G9" s="10"/>
      <c r="H9" s="7" t="s">
        <v>2391</v>
      </c>
      <c r="I9" s="7" t="s">
        <v>2528</v>
      </c>
      <c r="J9" s="7" t="s">
        <v>2363</v>
      </c>
      <c r="K9" s="7"/>
      <c r="L9" s="11" t="str">
        <f>HYPERLINK("http://slimages.macys.com/is/image/MCY/8907453 ")</f>
        <v xml:space="preserve">http://slimages.macys.com/is/image/MCY/8907453 </v>
      </c>
    </row>
    <row r="10" spans="1:12" ht="39.950000000000003" customHeight="1" x14ac:dyDescent="0.25">
      <c r="A10" s="6" t="s">
        <v>2784</v>
      </c>
      <c r="B10" s="7" t="s">
        <v>2785</v>
      </c>
      <c r="C10" s="8">
        <v>1</v>
      </c>
      <c r="D10" s="9">
        <v>119.99</v>
      </c>
      <c r="E10" s="8" t="s">
        <v>2786</v>
      </c>
      <c r="F10" s="7" t="s">
        <v>2436</v>
      </c>
      <c r="G10" s="10"/>
      <c r="H10" s="7" t="s">
        <v>2396</v>
      </c>
      <c r="I10" s="7" t="s">
        <v>2787</v>
      </c>
      <c r="J10" s="7" t="s">
        <v>2363</v>
      </c>
      <c r="K10" s="7"/>
      <c r="L10" s="11" t="str">
        <f>HYPERLINK("http://slimages.macys.com/is/image/MCY/8813910 ")</f>
        <v xml:space="preserve">http://slimages.macys.com/is/image/MCY/8813910 </v>
      </c>
    </row>
    <row r="11" spans="1:12" ht="39.950000000000003" customHeight="1" x14ac:dyDescent="0.25">
      <c r="A11" s="6" t="s">
        <v>2260</v>
      </c>
      <c r="B11" s="7" t="s">
        <v>2261</v>
      </c>
      <c r="C11" s="8">
        <v>1</v>
      </c>
      <c r="D11" s="9">
        <v>109.99</v>
      </c>
      <c r="E11" s="8" t="s">
        <v>2262</v>
      </c>
      <c r="F11" s="7" t="s">
        <v>2446</v>
      </c>
      <c r="G11" s="10"/>
      <c r="H11" s="7" t="s">
        <v>2369</v>
      </c>
      <c r="I11" s="7" t="s">
        <v>2409</v>
      </c>
      <c r="J11" s="7" t="s">
        <v>2363</v>
      </c>
      <c r="K11" s="7" t="s">
        <v>2385</v>
      </c>
      <c r="L11" s="11" t="str">
        <f>HYPERLINK("http://slimages.macys.com/is/image/MCY/8930319 ")</f>
        <v xml:space="preserve">http://slimages.macys.com/is/image/MCY/8930319 </v>
      </c>
    </row>
    <row r="12" spans="1:12" ht="39.950000000000003" customHeight="1" x14ac:dyDescent="0.25">
      <c r="A12" s="6" t="s">
        <v>2263</v>
      </c>
      <c r="B12" s="7" t="s">
        <v>2264</v>
      </c>
      <c r="C12" s="8">
        <v>1</v>
      </c>
      <c r="D12" s="9">
        <v>139.99</v>
      </c>
      <c r="E12" s="8" t="s">
        <v>2265</v>
      </c>
      <c r="F12" s="7" t="s">
        <v>2355</v>
      </c>
      <c r="G12" s="10"/>
      <c r="H12" s="7" t="s">
        <v>2375</v>
      </c>
      <c r="I12" s="7" t="s">
        <v>2376</v>
      </c>
      <c r="J12" s="7"/>
      <c r="K12" s="7"/>
      <c r="L12" s="11" t="str">
        <f>HYPERLINK("http://slimages.macys.com/is/image/MCY/18941500 ")</f>
        <v xml:space="preserve">http://slimages.macys.com/is/image/MCY/18941500 </v>
      </c>
    </row>
    <row r="13" spans="1:12" ht="39.950000000000003" customHeight="1" x14ac:dyDescent="0.25">
      <c r="A13" s="6" t="s">
        <v>2577</v>
      </c>
      <c r="B13" s="7" t="s">
        <v>2578</v>
      </c>
      <c r="C13" s="8">
        <v>1</v>
      </c>
      <c r="D13" s="9">
        <v>99.99</v>
      </c>
      <c r="E13" s="8">
        <v>22337222</v>
      </c>
      <c r="F13" s="7" t="s">
        <v>2514</v>
      </c>
      <c r="G13" s="10"/>
      <c r="H13" s="7" t="s">
        <v>2369</v>
      </c>
      <c r="I13" s="7" t="s">
        <v>2370</v>
      </c>
      <c r="J13" s="7"/>
      <c r="K13" s="7"/>
      <c r="L13" s="11" t="str">
        <f>HYPERLINK("http://slimages.macys.com/is/image/MCY/17815149 ")</f>
        <v xml:space="preserve">http://slimages.macys.com/is/image/MCY/17815149 </v>
      </c>
    </row>
    <row r="14" spans="1:12" ht="39.950000000000003" customHeight="1" x14ac:dyDescent="0.25">
      <c r="A14" s="6" t="s">
        <v>2582</v>
      </c>
      <c r="B14" s="7" t="s">
        <v>2583</v>
      </c>
      <c r="C14" s="8">
        <v>1</v>
      </c>
      <c r="D14" s="9">
        <v>99.99</v>
      </c>
      <c r="E14" s="8" t="s">
        <v>2584</v>
      </c>
      <c r="F14" s="7" t="s">
        <v>2362</v>
      </c>
      <c r="G14" s="10"/>
      <c r="H14" s="7" t="s">
        <v>2486</v>
      </c>
      <c r="I14" s="7" t="s">
        <v>2585</v>
      </c>
      <c r="J14" s="7"/>
      <c r="K14" s="7"/>
      <c r="L14" s="11" t="str">
        <f>HYPERLINK("http://slimages.macys.com/is/image/MCY/17662849 ")</f>
        <v xml:space="preserve">http://slimages.macys.com/is/image/MCY/17662849 </v>
      </c>
    </row>
    <row r="15" spans="1:12" ht="39.950000000000003" customHeight="1" x14ac:dyDescent="0.25">
      <c r="A15" s="6" t="s">
        <v>2266</v>
      </c>
      <c r="B15" s="7" t="s">
        <v>2267</v>
      </c>
      <c r="C15" s="8">
        <v>1</v>
      </c>
      <c r="D15" s="9">
        <v>119.99</v>
      </c>
      <c r="E15" s="8" t="s">
        <v>2268</v>
      </c>
      <c r="F15" s="7" t="s">
        <v>2477</v>
      </c>
      <c r="G15" s="10"/>
      <c r="H15" s="7" t="s">
        <v>2400</v>
      </c>
      <c r="I15" s="7" t="s">
        <v>2411</v>
      </c>
      <c r="J15" s="7" t="s">
        <v>2363</v>
      </c>
      <c r="K15" s="7" t="s">
        <v>2652</v>
      </c>
      <c r="L15" s="11" t="str">
        <f>HYPERLINK("http://slimages.macys.com/is/image/MCY/16143905 ")</f>
        <v xml:space="preserve">http://slimages.macys.com/is/image/MCY/16143905 </v>
      </c>
    </row>
    <row r="16" spans="1:12" ht="39.950000000000003" customHeight="1" x14ac:dyDescent="0.25">
      <c r="A16" s="6" t="s">
        <v>2269</v>
      </c>
      <c r="B16" s="7" t="s">
        <v>2270</v>
      </c>
      <c r="C16" s="8">
        <v>1</v>
      </c>
      <c r="D16" s="9">
        <v>79.989999999999995</v>
      </c>
      <c r="E16" s="8" t="s">
        <v>2271</v>
      </c>
      <c r="F16" s="7" t="s">
        <v>2362</v>
      </c>
      <c r="G16" s="10"/>
      <c r="H16" s="7" t="s">
        <v>2391</v>
      </c>
      <c r="I16" s="7" t="s">
        <v>2409</v>
      </c>
      <c r="J16" s="7"/>
      <c r="K16" s="7"/>
      <c r="L16" s="11" t="str">
        <f>HYPERLINK("http://slimages.macys.com/is/image/MCY/17729400 ")</f>
        <v xml:space="preserve">http://slimages.macys.com/is/image/MCY/17729400 </v>
      </c>
    </row>
    <row r="17" spans="1:12" ht="39.950000000000003" customHeight="1" x14ac:dyDescent="0.25">
      <c r="A17" s="6" t="s">
        <v>2272</v>
      </c>
      <c r="B17" s="7" t="s">
        <v>2273</v>
      </c>
      <c r="C17" s="8">
        <v>1</v>
      </c>
      <c r="D17" s="9">
        <v>72.989999999999995</v>
      </c>
      <c r="E17" s="8" t="s">
        <v>2274</v>
      </c>
      <c r="F17" s="7" t="s">
        <v>2454</v>
      </c>
      <c r="G17" s="10"/>
      <c r="H17" s="7" t="s">
        <v>2369</v>
      </c>
      <c r="I17" s="7" t="s">
        <v>2409</v>
      </c>
      <c r="J17" s="7" t="s">
        <v>2363</v>
      </c>
      <c r="K17" s="7" t="s">
        <v>2275</v>
      </c>
      <c r="L17" s="11" t="str">
        <f>HYPERLINK("http://slimages.macys.com/is/image/MCY/16417786 ")</f>
        <v xml:space="preserve">http://slimages.macys.com/is/image/MCY/16417786 </v>
      </c>
    </row>
    <row r="18" spans="1:12" ht="39.950000000000003" customHeight="1" x14ac:dyDescent="0.25">
      <c r="A18" s="6" t="s">
        <v>2276</v>
      </c>
      <c r="B18" s="7" t="s">
        <v>2277</v>
      </c>
      <c r="C18" s="8">
        <v>1</v>
      </c>
      <c r="D18" s="9">
        <v>63.99</v>
      </c>
      <c r="E18" s="8">
        <v>82922</v>
      </c>
      <c r="F18" s="7" t="s">
        <v>2419</v>
      </c>
      <c r="G18" s="10"/>
      <c r="H18" s="7" t="s">
        <v>2369</v>
      </c>
      <c r="I18" s="7" t="s">
        <v>3015</v>
      </c>
      <c r="J18" s="7"/>
      <c r="K18" s="7"/>
      <c r="L18" s="11" t="str">
        <f>HYPERLINK("http://slimages.macys.com/is/image/MCY/17803314 ")</f>
        <v xml:space="preserve">http://slimages.macys.com/is/image/MCY/17803314 </v>
      </c>
    </row>
    <row r="19" spans="1:12" ht="39.950000000000003" customHeight="1" x14ac:dyDescent="0.25">
      <c r="A19" s="6" t="s">
        <v>2278</v>
      </c>
      <c r="B19" s="7" t="s">
        <v>2279</v>
      </c>
      <c r="C19" s="8">
        <v>1</v>
      </c>
      <c r="D19" s="9">
        <v>34.99</v>
      </c>
      <c r="E19" s="8">
        <v>4401</v>
      </c>
      <c r="F19" s="7" t="s">
        <v>2355</v>
      </c>
      <c r="G19" s="10" t="s">
        <v>2410</v>
      </c>
      <c r="H19" s="7" t="s">
        <v>2447</v>
      </c>
      <c r="I19" s="7" t="s">
        <v>2448</v>
      </c>
      <c r="J19" s="7" t="s">
        <v>2363</v>
      </c>
      <c r="K19" s="7"/>
      <c r="L19" s="11" t="str">
        <f>HYPERLINK("http://slimages.macys.com/is/image/MCY/9873929 ")</f>
        <v xml:space="preserve">http://slimages.macys.com/is/image/MCY/9873929 </v>
      </c>
    </row>
    <row r="20" spans="1:12" ht="39.950000000000003" customHeight="1" x14ac:dyDescent="0.25">
      <c r="A20" s="6" t="s">
        <v>2280</v>
      </c>
      <c r="B20" s="7" t="s">
        <v>2281</v>
      </c>
      <c r="C20" s="8">
        <v>1</v>
      </c>
      <c r="D20" s="9">
        <v>59.99</v>
      </c>
      <c r="E20" s="8">
        <v>81337</v>
      </c>
      <c r="F20" s="7" t="s">
        <v>2558</v>
      </c>
      <c r="G20" s="10"/>
      <c r="H20" s="7" t="s">
        <v>2369</v>
      </c>
      <c r="I20" s="7" t="s">
        <v>3015</v>
      </c>
      <c r="J20" s="7" t="s">
        <v>2363</v>
      </c>
      <c r="K20" s="7" t="s">
        <v>2385</v>
      </c>
      <c r="L20" s="11" t="str">
        <f>HYPERLINK("http://slimages.macys.com/is/image/MCY/15670928 ")</f>
        <v xml:space="preserve">http://slimages.macys.com/is/image/MCY/15670928 </v>
      </c>
    </row>
    <row r="21" spans="1:12" ht="39.950000000000003" customHeight="1" x14ac:dyDescent="0.25">
      <c r="A21" s="6" t="s">
        <v>2893</v>
      </c>
      <c r="B21" s="7" t="s">
        <v>2894</v>
      </c>
      <c r="C21" s="8">
        <v>4</v>
      </c>
      <c r="D21" s="9">
        <v>339.96</v>
      </c>
      <c r="E21" s="8" t="s">
        <v>2895</v>
      </c>
      <c r="F21" s="7" t="s">
        <v>2495</v>
      </c>
      <c r="G21" s="10" t="s">
        <v>2646</v>
      </c>
      <c r="H21" s="7" t="s">
        <v>2413</v>
      </c>
      <c r="I21" s="7" t="s">
        <v>2524</v>
      </c>
      <c r="J21" s="7" t="s">
        <v>2363</v>
      </c>
      <c r="K21" s="7" t="s">
        <v>2525</v>
      </c>
      <c r="L21" s="11" t="str">
        <f>HYPERLINK("http://slimages.macys.com/is/image/MCY/13121058 ")</f>
        <v xml:space="preserve">http://slimages.macys.com/is/image/MCY/13121058 </v>
      </c>
    </row>
    <row r="22" spans="1:12" ht="39.950000000000003" customHeight="1" x14ac:dyDescent="0.25">
      <c r="A22" s="6" t="s">
        <v>2282</v>
      </c>
      <c r="B22" s="7" t="s">
        <v>2283</v>
      </c>
      <c r="C22" s="8">
        <v>1</v>
      </c>
      <c r="D22" s="9">
        <v>49.99</v>
      </c>
      <c r="E22" s="8" t="s">
        <v>2284</v>
      </c>
      <c r="F22" s="7" t="s">
        <v>2355</v>
      </c>
      <c r="G22" s="10"/>
      <c r="H22" s="7" t="s">
        <v>2432</v>
      </c>
      <c r="I22" s="7" t="s">
        <v>2433</v>
      </c>
      <c r="J22" s="7" t="s">
        <v>2363</v>
      </c>
      <c r="K22" s="7" t="s">
        <v>2421</v>
      </c>
      <c r="L22" s="11" t="str">
        <f>HYPERLINK("http://slimages.macys.com/is/image/MCY/14380606 ")</f>
        <v xml:space="preserve">http://slimages.macys.com/is/image/MCY/14380606 </v>
      </c>
    </row>
    <row r="23" spans="1:12" ht="39.950000000000003" customHeight="1" x14ac:dyDescent="0.25">
      <c r="A23" s="6" t="s">
        <v>3051</v>
      </c>
      <c r="B23" s="7" t="s">
        <v>3052</v>
      </c>
      <c r="C23" s="8">
        <v>1</v>
      </c>
      <c r="D23" s="9">
        <v>49.99</v>
      </c>
      <c r="E23" s="8">
        <v>2000000035</v>
      </c>
      <c r="F23" s="7" t="s">
        <v>2512</v>
      </c>
      <c r="G23" s="10"/>
      <c r="H23" s="7" t="s">
        <v>2369</v>
      </c>
      <c r="I23" s="7" t="s">
        <v>2370</v>
      </c>
      <c r="J23" s="7"/>
      <c r="K23" s="7"/>
      <c r="L23" s="11" t="str">
        <f>HYPERLINK("http://slimages.macys.com/is/image/MCY/17814255 ")</f>
        <v xml:space="preserve">http://slimages.macys.com/is/image/MCY/17814255 </v>
      </c>
    </row>
    <row r="24" spans="1:12" ht="39.950000000000003" customHeight="1" x14ac:dyDescent="0.25">
      <c r="A24" s="6" t="s">
        <v>2285</v>
      </c>
      <c r="B24" s="7" t="s">
        <v>2286</v>
      </c>
      <c r="C24" s="8">
        <v>1</v>
      </c>
      <c r="D24" s="9">
        <v>49.99</v>
      </c>
      <c r="E24" s="8">
        <v>19157229</v>
      </c>
      <c r="F24" s="7" t="s">
        <v>2403</v>
      </c>
      <c r="G24" s="10"/>
      <c r="H24" s="7" t="s">
        <v>2369</v>
      </c>
      <c r="I24" s="7" t="s">
        <v>2370</v>
      </c>
      <c r="J24" s="7" t="s">
        <v>2363</v>
      </c>
      <c r="K24" s="7" t="s">
        <v>2385</v>
      </c>
      <c r="L24" s="11" t="str">
        <f>HYPERLINK("http://slimages.macys.com/is/image/MCY/8347198 ")</f>
        <v xml:space="preserve">http://slimages.macys.com/is/image/MCY/8347198 </v>
      </c>
    </row>
    <row r="25" spans="1:12" ht="39.950000000000003" customHeight="1" x14ac:dyDescent="0.25">
      <c r="A25" s="6" t="s">
        <v>2287</v>
      </c>
      <c r="B25" s="7" t="s">
        <v>2288</v>
      </c>
      <c r="C25" s="8">
        <v>1</v>
      </c>
      <c r="D25" s="9">
        <v>50.99</v>
      </c>
      <c r="E25" s="8" t="s">
        <v>2289</v>
      </c>
      <c r="F25" s="7" t="s">
        <v>2355</v>
      </c>
      <c r="G25" s="10" t="s">
        <v>2554</v>
      </c>
      <c r="H25" s="7" t="s">
        <v>2413</v>
      </c>
      <c r="I25" s="7" t="s">
        <v>2693</v>
      </c>
      <c r="J25" s="7" t="s">
        <v>2460</v>
      </c>
      <c r="K25" s="7" t="s">
        <v>2290</v>
      </c>
      <c r="L25" s="11" t="str">
        <f>HYPERLINK("http://slimages.macys.com/is/image/MCY/9406278 ")</f>
        <v xml:space="preserve">http://slimages.macys.com/is/image/MCY/9406278 </v>
      </c>
    </row>
    <row r="26" spans="1:12" ht="39.950000000000003" customHeight="1" x14ac:dyDescent="0.25">
      <c r="A26" s="6" t="s">
        <v>2291</v>
      </c>
      <c r="B26" s="7" t="s">
        <v>2292</v>
      </c>
      <c r="C26" s="8">
        <v>1</v>
      </c>
      <c r="D26" s="9">
        <v>35.99</v>
      </c>
      <c r="E26" s="8" t="s">
        <v>2293</v>
      </c>
      <c r="F26" s="7" t="s">
        <v>2446</v>
      </c>
      <c r="G26" s="10"/>
      <c r="H26" s="7" t="s">
        <v>2387</v>
      </c>
      <c r="I26" s="7" t="s">
        <v>2779</v>
      </c>
      <c r="J26" s="7" t="s">
        <v>2363</v>
      </c>
      <c r="K26" s="7" t="s">
        <v>2662</v>
      </c>
      <c r="L26" s="11" t="str">
        <f>HYPERLINK("http://slimages.macys.com/is/image/MCY/10721543 ")</f>
        <v xml:space="preserve">http://slimages.macys.com/is/image/MCY/10721543 </v>
      </c>
    </row>
    <row r="27" spans="1:12" ht="39.950000000000003" customHeight="1" x14ac:dyDescent="0.25">
      <c r="A27" s="6" t="s">
        <v>2294</v>
      </c>
      <c r="B27" s="7" t="s">
        <v>2295</v>
      </c>
      <c r="C27" s="8">
        <v>1</v>
      </c>
      <c r="D27" s="9">
        <v>47.99</v>
      </c>
      <c r="E27" s="8" t="s">
        <v>2296</v>
      </c>
      <c r="F27" s="7" t="s">
        <v>2623</v>
      </c>
      <c r="G27" s="10" t="s">
        <v>2356</v>
      </c>
      <c r="H27" s="7" t="s">
        <v>2545</v>
      </c>
      <c r="I27" s="7" t="s">
        <v>2546</v>
      </c>
      <c r="J27" s="7" t="s">
        <v>2363</v>
      </c>
      <c r="K27" s="7"/>
      <c r="L27" s="11" t="str">
        <f>HYPERLINK("http://slimages.macys.com/is/image/MCY/12327267 ")</f>
        <v xml:space="preserve">http://slimages.macys.com/is/image/MCY/12327267 </v>
      </c>
    </row>
    <row r="28" spans="1:12" ht="39.950000000000003" customHeight="1" x14ac:dyDescent="0.25">
      <c r="A28" s="6" t="s">
        <v>2297</v>
      </c>
      <c r="B28" s="7" t="s">
        <v>2298</v>
      </c>
      <c r="C28" s="8">
        <v>1</v>
      </c>
      <c r="D28" s="9">
        <v>30.99</v>
      </c>
      <c r="E28" s="8" t="s">
        <v>2299</v>
      </c>
      <c r="F28" s="7" t="s">
        <v>2475</v>
      </c>
      <c r="G28" s="10"/>
      <c r="H28" s="7" t="s">
        <v>2387</v>
      </c>
      <c r="I28" s="7" t="s">
        <v>2779</v>
      </c>
      <c r="J28" s="7" t="s">
        <v>2363</v>
      </c>
      <c r="K28" s="7" t="s">
        <v>2168</v>
      </c>
      <c r="L28" s="11" t="str">
        <f>HYPERLINK("http://slimages.macys.com/is/image/MCY/10682876 ")</f>
        <v xml:space="preserve">http://slimages.macys.com/is/image/MCY/10682876 </v>
      </c>
    </row>
    <row r="29" spans="1:12" ht="39.950000000000003" customHeight="1" x14ac:dyDescent="0.25">
      <c r="A29" s="6" t="s">
        <v>2988</v>
      </c>
      <c r="B29" s="7" t="s">
        <v>2989</v>
      </c>
      <c r="C29" s="8">
        <v>1</v>
      </c>
      <c r="D29" s="9">
        <v>41.99</v>
      </c>
      <c r="E29" s="8" t="s">
        <v>2990</v>
      </c>
      <c r="F29" s="7" t="s">
        <v>2495</v>
      </c>
      <c r="G29" s="10"/>
      <c r="H29" s="7" t="s">
        <v>2545</v>
      </c>
      <c r="I29" s="7" t="s">
        <v>2546</v>
      </c>
      <c r="J29" s="7"/>
      <c r="K29" s="7"/>
      <c r="L29" s="11" t="str">
        <f>HYPERLINK("http://slimages.macys.com/is/image/MCY/9489266 ")</f>
        <v xml:space="preserve">http://slimages.macys.com/is/image/MCY/9489266 </v>
      </c>
    </row>
    <row r="30" spans="1:12" ht="39.950000000000003" customHeight="1" x14ac:dyDescent="0.25">
      <c r="A30" s="6" t="s">
        <v>2300</v>
      </c>
      <c r="B30" s="7" t="s">
        <v>2301</v>
      </c>
      <c r="C30" s="8">
        <v>1</v>
      </c>
      <c r="D30" s="9">
        <v>29.99</v>
      </c>
      <c r="E30" s="8" t="s">
        <v>2302</v>
      </c>
      <c r="F30" s="7" t="s">
        <v>2368</v>
      </c>
      <c r="G30" s="10"/>
      <c r="H30" s="7" t="s">
        <v>2532</v>
      </c>
      <c r="I30" s="7" t="s">
        <v>2699</v>
      </c>
      <c r="J30" s="7"/>
      <c r="K30" s="7"/>
      <c r="L30" s="11" t="str">
        <f>HYPERLINK("http://slimages.macys.com/is/image/MCY/18757763 ")</f>
        <v xml:space="preserve">http://slimages.macys.com/is/image/MCY/18757763 </v>
      </c>
    </row>
    <row r="31" spans="1:12" ht="39.950000000000003" customHeight="1" x14ac:dyDescent="0.25">
      <c r="A31" s="6" t="s">
        <v>2303</v>
      </c>
      <c r="B31" s="7" t="s">
        <v>2304</v>
      </c>
      <c r="C31" s="8">
        <v>1</v>
      </c>
      <c r="D31" s="9">
        <v>29.99</v>
      </c>
      <c r="E31" s="8">
        <v>2000000022</v>
      </c>
      <c r="F31" s="7"/>
      <c r="G31" s="10"/>
      <c r="H31" s="7" t="s">
        <v>2369</v>
      </c>
      <c r="I31" s="7" t="s">
        <v>2370</v>
      </c>
      <c r="J31" s="7"/>
      <c r="K31" s="7"/>
      <c r="L31" s="11" t="str">
        <f>HYPERLINK("http://slimages.macys.com/is/image/MCY/17597180 ")</f>
        <v xml:space="preserve">http://slimages.macys.com/is/image/MCY/17597180 </v>
      </c>
    </row>
    <row r="32" spans="1:12" ht="39.950000000000003" customHeight="1" x14ac:dyDescent="0.25">
      <c r="A32" s="6" t="s">
        <v>2305</v>
      </c>
      <c r="B32" s="7" t="s">
        <v>2306</v>
      </c>
      <c r="C32" s="8">
        <v>1</v>
      </c>
      <c r="D32" s="9">
        <v>29.99</v>
      </c>
      <c r="E32" s="8">
        <v>2000000021</v>
      </c>
      <c r="F32" s="7"/>
      <c r="G32" s="10"/>
      <c r="H32" s="7" t="s">
        <v>2369</v>
      </c>
      <c r="I32" s="7" t="s">
        <v>2370</v>
      </c>
      <c r="J32" s="7"/>
      <c r="K32" s="7"/>
      <c r="L32" s="11" t="str">
        <f>HYPERLINK("http://slimages.macys.com/is/image/MCY/17597170 ")</f>
        <v xml:space="preserve">http://slimages.macys.com/is/image/MCY/17597170 </v>
      </c>
    </row>
    <row r="33" spans="1:12" ht="39.950000000000003" customHeight="1" x14ac:dyDescent="0.25">
      <c r="A33" s="6" t="s">
        <v>2877</v>
      </c>
      <c r="B33" s="7" t="s">
        <v>2878</v>
      </c>
      <c r="C33" s="8">
        <v>1</v>
      </c>
      <c r="D33" s="9">
        <v>29.99</v>
      </c>
      <c r="E33" s="8" t="s">
        <v>2879</v>
      </c>
      <c r="F33" s="7"/>
      <c r="G33" s="10"/>
      <c r="H33" s="7" t="s">
        <v>2369</v>
      </c>
      <c r="I33" s="7" t="s">
        <v>2431</v>
      </c>
      <c r="J33" s="7" t="s">
        <v>2363</v>
      </c>
      <c r="K33" s="7" t="s">
        <v>2385</v>
      </c>
      <c r="L33" s="11" t="str">
        <f>HYPERLINK("http://slimages.macys.com/is/image/MCY/16688487 ")</f>
        <v xml:space="preserve">http://slimages.macys.com/is/image/MCY/16688487 </v>
      </c>
    </row>
    <row r="34" spans="1:12" ht="39.950000000000003" customHeight="1" x14ac:dyDescent="0.25">
      <c r="A34" s="6" t="s">
        <v>2307</v>
      </c>
      <c r="B34" s="7" t="s">
        <v>2308</v>
      </c>
      <c r="C34" s="8">
        <v>1</v>
      </c>
      <c r="D34" s="9">
        <v>24.99</v>
      </c>
      <c r="E34" s="8" t="s">
        <v>2309</v>
      </c>
      <c r="F34" s="7"/>
      <c r="G34" s="10" t="s">
        <v>2826</v>
      </c>
      <c r="H34" s="7" t="s">
        <v>2369</v>
      </c>
      <c r="I34" s="7" t="s">
        <v>2975</v>
      </c>
      <c r="J34" s="7"/>
      <c r="K34" s="7"/>
      <c r="L34" s="11" t="str">
        <f>HYPERLINK("http://slimages.macys.com/is/image/MCY/17893199 ")</f>
        <v xml:space="preserve">http://slimages.macys.com/is/image/MCY/17893199 </v>
      </c>
    </row>
    <row r="35" spans="1:12" ht="39.950000000000003" customHeight="1" x14ac:dyDescent="0.25">
      <c r="A35" s="6" t="s">
        <v>2310</v>
      </c>
      <c r="B35" s="7" t="s">
        <v>2311</v>
      </c>
      <c r="C35" s="8">
        <v>1</v>
      </c>
      <c r="D35" s="9">
        <v>19.989999999999998</v>
      </c>
      <c r="E35" s="8" t="s">
        <v>2312</v>
      </c>
      <c r="F35" s="7" t="s">
        <v>2495</v>
      </c>
      <c r="G35" s="10" t="s">
        <v>2313</v>
      </c>
      <c r="H35" s="7" t="s">
        <v>2391</v>
      </c>
      <c r="I35" s="7" t="s">
        <v>2673</v>
      </c>
      <c r="J35" s="7"/>
      <c r="K35" s="7"/>
      <c r="L35" s="11" t="str">
        <f>HYPERLINK("http://slimages.macys.com/is/image/MCY/18173376 ")</f>
        <v xml:space="preserve">http://slimages.macys.com/is/image/MCY/18173376 </v>
      </c>
    </row>
    <row r="36" spans="1:12" ht="39.950000000000003" customHeight="1" x14ac:dyDescent="0.25">
      <c r="A36" s="6" t="s">
        <v>2314</v>
      </c>
      <c r="B36" s="7" t="s">
        <v>2315</v>
      </c>
      <c r="C36" s="8">
        <v>1</v>
      </c>
      <c r="D36" s="9">
        <v>17.989999999999998</v>
      </c>
      <c r="E36" s="8" t="s">
        <v>2316</v>
      </c>
      <c r="F36" s="7" t="s">
        <v>2355</v>
      </c>
      <c r="G36" s="10" t="s">
        <v>2949</v>
      </c>
      <c r="H36" s="7" t="s">
        <v>2407</v>
      </c>
      <c r="I36" s="7" t="s">
        <v>2950</v>
      </c>
      <c r="J36" s="7"/>
      <c r="K36" s="7"/>
      <c r="L36" s="11" t="str">
        <f>HYPERLINK("http://slimages.macys.com/is/image/MCY/18456603 ")</f>
        <v xml:space="preserve">http://slimages.macys.com/is/image/MCY/18456603 </v>
      </c>
    </row>
    <row r="37" spans="1:12" ht="39.950000000000003" customHeight="1" x14ac:dyDescent="0.25">
      <c r="A37" s="6" t="s">
        <v>2317</v>
      </c>
      <c r="B37" s="7" t="s">
        <v>2318</v>
      </c>
      <c r="C37" s="8">
        <v>1</v>
      </c>
      <c r="D37" s="9">
        <v>16.989999999999998</v>
      </c>
      <c r="E37" s="8">
        <v>1008192300</v>
      </c>
      <c r="F37" s="7" t="s">
        <v>2399</v>
      </c>
      <c r="G37" s="10" t="s">
        <v>2441</v>
      </c>
      <c r="H37" s="7" t="s">
        <v>2442</v>
      </c>
      <c r="I37" s="7" t="s">
        <v>2443</v>
      </c>
      <c r="J37" s="7" t="s">
        <v>2363</v>
      </c>
      <c r="K37" s="7" t="s">
        <v>2640</v>
      </c>
      <c r="L37" s="11" t="str">
        <f>HYPERLINK("http://slimages.macys.com/is/image/MCY/15846989 ")</f>
        <v xml:space="preserve">http://slimages.macys.com/is/image/MCY/15846989 </v>
      </c>
    </row>
    <row r="38" spans="1:12" ht="39.950000000000003" customHeight="1" x14ac:dyDescent="0.25">
      <c r="A38" s="6" t="s">
        <v>2319</v>
      </c>
      <c r="B38" s="7" t="s">
        <v>2320</v>
      </c>
      <c r="C38" s="8">
        <v>1</v>
      </c>
      <c r="D38" s="9">
        <v>22.99</v>
      </c>
      <c r="E38" s="8" t="s">
        <v>2869</v>
      </c>
      <c r="F38" s="7" t="s">
        <v>2505</v>
      </c>
      <c r="G38" s="10" t="s">
        <v>2675</v>
      </c>
      <c r="H38" s="7" t="s">
        <v>2442</v>
      </c>
      <c r="I38" s="7" t="s">
        <v>2411</v>
      </c>
      <c r="J38" s="7" t="s">
        <v>2363</v>
      </c>
      <c r="K38" s="7" t="s">
        <v>2421</v>
      </c>
      <c r="L38" s="11" t="str">
        <f>HYPERLINK("http://slimages.macys.com/is/image/MCY/11946722 ")</f>
        <v xml:space="preserve">http://slimages.macys.com/is/image/MCY/11946722 </v>
      </c>
    </row>
    <row r="39" spans="1:12" ht="39.950000000000003" customHeight="1" x14ac:dyDescent="0.25">
      <c r="A39" s="6" t="s">
        <v>2321</v>
      </c>
      <c r="B39" s="7" t="s">
        <v>2322</v>
      </c>
      <c r="C39" s="8">
        <v>1</v>
      </c>
      <c r="D39" s="9">
        <v>9.99</v>
      </c>
      <c r="E39" s="8" t="s">
        <v>2323</v>
      </c>
      <c r="F39" s="7" t="s">
        <v>3214</v>
      </c>
      <c r="G39" s="10" t="s">
        <v>2441</v>
      </c>
      <c r="H39" s="7" t="s">
        <v>2442</v>
      </c>
      <c r="I39" s="7" t="s">
        <v>2614</v>
      </c>
      <c r="J39" s="7" t="s">
        <v>2363</v>
      </c>
      <c r="K39" s="7" t="s">
        <v>2421</v>
      </c>
      <c r="L39" s="11" t="str">
        <f>HYPERLINK("http://slimages.macys.com/is/image/MCY/12723168 ")</f>
        <v xml:space="preserve">http://slimages.macys.com/is/image/MCY/12723168 </v>
      </c>
    </row>
    <row r="40" spans="1:12" ht="39.950000000000003" customHeight="1" x14ac:dyDescent="0.25">
      <c r="A40" s="6" t="s">
        <v>2324</v>
      </c>
      <c r="B40" s="7" t="s">
        <v>2325</v>
      </c>
      <c r="C40" s="8">
        <v>1</v>
      </c>
      <c r="D40" s="9">
        <v>5.99</v>
      </c>
      <c r="E40" s="8" t="s">
        <v>2326</v>
      </c>
      <c r="F40" s="7" t="s">
        <v>2567</v>
      </c>
      <c r="G40" s="10"/>
      <c r="H40" s="7" t="s">
        <v>2420</v>
      </c>
      <c r="I40" s="7" t="s">
        <v>2327</v>
      </c>
      <c r="J40" s="7" t="s">
        <v>2363</v>
      </c>
      <c r="K40" s="7" t="s">
        <v>2640</v>
      </c>
      <c r="L40" s="11" t="str">
        <f>HYPERLINK("http://slimages.macys.com/is/image/MCY/14750378 ")</f>
        <v xml:space="preserve">http://slimages.macys.com/is/image/MCY/14750378 </v>
      </c>
    </row>
    <row r="41" spans="1:12" ht="39.950000000000003" customHeight="1" x14ac:dyDescent="0.25">
      <c r="A41" s="6" t="s">
        <v>2328</v>
      </c>
      <c r="B41" s="7" t="s">
        <v>2329</v>
      </c>
      <c r="C41" s="8">
        <v>2</v>
      </c>
      <c r="D41" s="9">
        <v>13.98</v>
      </c>
      <c r="E41" s="8">
        <v>1003699300</v>
      </c>
      <c r="F41" s="7" t="s">
        <v>2362</v>
      </c>
      <c r="G41" s="10" t="s">
        <v>2463</v>
      </c>
      <c r="H41" s="7" t="s">
        <v>2442</v>
      </c>
      <c r="I41" s="7" t="s">
        <v>2411</v>
      </c>
      <c r="J41" s="7" t="s">
        <v>2363</v>
      </c>
      <c r="K41" s="7" t="s">
        <v>2640</v>
      </c>
      <c r="L41" s="11" t="str">
        <f>HYPERLINK("http://slimages.macys.com/is/image/MCY/11480705 ")</f>
        <v xml:space="preserve">http://slimages.macys.com/is/image/MCY/11480705 </v>
      </c>
    </row>
    <row r="42" spans="1:12" ht="39.950000000000003" customHeight="1" x14ac:dyDescent="0.25">
      <c r="A42" s="6" t="s">
        <v>2330</v>
      </c>
      <c r="B42" s="7" t="s">
        <v>2331</v>
      </c>
      <c r="C42" s="8">
        <v>1</v>
      </c>
      <c r="D42" s="9">
        <v>139.99</v>
      </c>
      <c r="E42" s="8" t="s">
        <v>2332</v>
      </c>
      <c r="F42" s="7" t="s">
        <v>2355</v>
      </c>
      <c r="G42" s="10"/>
      <c r="H42" s="7" t="s">
        <v>2391</v>
      </c>
      <c r="I42" s="7" t="s">
        <v>1781</v>
      </c>
      <c r="J42" s="7"/>
      <c r="K42" s="7"/>
      <c r="L42" s="11"/>
    </row>
    <row r="43" spans="1:12" ht="39.950000000000003" customHeight="1" x14ac:dyDescent="0.25">
      <c r="A43" s="6" t="s">
        <v>2333</v>
      </c>
      <c r="B43" s="7" t="s">
        <v>2334</v>
      </c>
      <c r="C43" s="8">
        <v>1</v>
      </c>
      <c r="D43" s="9">
        <v>199.99</v>
      </c>
      <c r="E43" s="8" t="s">
        <v>2335</v>
      </c>
      <c r="F43" s="7" t="s">
        <v>2355</v>
      </c>
      <c r="G43" s="10"/>
      <c r="H43" s="7" t="s">
        <v>2357</v>
      </c>
      <c r="I43" s="7" t="s">
        <v>2358</v>
      </c>
      <c r="J43" s="7"/>
      <c r="K43" s="7"/>
      <c r="L43" s="11"/>
    </row>
    <row r="44" spans="1:12" ht="39.950000000000003" customHeight="1" x14ac:dyDescent="0.25">
      <c r="A44" s="6" t="s">
        <v>2336</v>
      </c>
      <c r="B44" s="7" t="s">
        <v>2337</v>
      </c>
      <c r="C44" s="8">
        <v>1</v>
      </c>
      <c r="D44" s="9">
        <v>179.99</v>
      </c>
      <c r="E44" s="8" t="s">
        <v>2338</v>
      </c>
      <c r="F44" s="7" t="s">
        <v>2506</v>
      </c>
      <c r="G44" s="10" t="s">
        <v>2339</v>
      </c>
      <c r="H44" s="7" t="s">
        <v>2387</v>
      </c>
      <c r="I44" s="7" t="s">
        <v>2243</v>
      </c>
      <c r="J44" s="7"/>
      <c r="K44" s="7"/>
      <c r="L44" s="11"/>
    </row>
    <row r="45" spans="1:12" ht="39.950000000000003" customHeight="1" x14ac:dyDescent="0.25">
      <c r="A45" s="6" t="s">
        <v>2466</v>
      </c>
      <c r="B45" s="7" t="s">
        <v>2467</v>
      </c>
      <c r="C45" s="8">
        <v>21</v>
      </c>
      <c r="D45" s="9">
        <v>840</v>
      </c>
      <c r="E45" s="8"/>
      <c r="F45" s="7" t="s">
        <v>2468</v>
      </c>
      <c r="G45" s="10" t="s">
        <v>2469</v>
      </c>
      <c r="H45" s="7" t="s">
        <v>2470</v>
      </c>
      <c r="I45" s="7" t="s">
        <v>2471</v>
      </c>
      <c r="J45" s="7"/>
      <c r="K45" s="7"/>
      <c r="L45" s="11"/>
    </row>
    <row r="46" spans="1:12" ht="39.950000000000003" customHeight="1" x14ac:dyDescent="0.25">
      <c r="A46" s="6" t="s">
        <v>2340</v>
      </c>
      <c r="B46" s="7" t="s">
        <v>437</v>
      </c>
      <c r="C46" s="8">
        <v>1</v>
      </c>
      <c r="D46" s="9">
        <v>70.989999999999995</v>
      </c>
      <c r="E46" s="8" t="s">
        <v>438</v>
      </c>
      <c r="F46" s="7" t="s">
        <v>2381</v>
      </c>
      <c r="G46" s="10"/>
      <c r="H46" s="7" t="s">
        <v>2369</v>
      </c>
      <c r="I46" s="7" t="s">
        <v>2409</v>
      </c>
      <c r="J46" s="7"/>
      <c r="K46" s="7"/>
      <c r="L46" s="11"/>
    </row>
    <row r="47" spans="1:12" ht="39.950000000000003" customHeight="1" x14ac:dyDescent="0.25">
      <c r="A47" s="6" t="s">
        <v>439</v>
      </c>
      <c r="B47" s="7" t="s">
        <v>440</v>
      </c>
      <c r="C47" s="8">
        <v>1</v>
      </c>
      <c r="D47" s="9">
        <v>59.99</v>
      </c>
      <c r="E47" s="8">
        <v>83479</v>
      </c>
      <c r="F47" s="7" t="s">
        <v>2475</v>
      </c>
      <c r="G47" s="10"/>
      <c r="H47" s="7" t="s">
        <v>2369</v>
      </c>
      <c r="I47" s="7" t="s">
        <v>3015</v>
      </c>
      <c r="J47" s="7"/>
      <c r="K47" s="7"/>
      <c r="L47" s="11"/>
    </row>
    <row r="48" spans="1:12" ht="39.950000000000003" customHeight="1" x14ac:dyDescent="0.25">
      <c r="A48" s="6" t="s">
        <v>441</v>
      </c>
      <c r="B48" s="7" t="s">
        <v>442</v>
      </c>
      <c r="C48" s="8">
        <v>1</v>
      </c>
      <c r="D48" s="9">
        <v>19.989999999999998</v>
      </c>
      <c r="E48" s="8" t="s">
        <v>443</v>
      </c>
      <c r="F48" s="7"/>
      <c r="G48" s="10" t="s">
        <v>444</v>
      </c>
      <c r="H48" s="7" t="s">
        <v>2532</v>
      </c>
      <c r="I48" s="7" t="s">
        <v>445</v>
      </c>
      <c r="J48" s="7"/>
      <c r="K48" s="7"/>
      <c r="L48" s="11"/>
    </row>
    <row r="49" spans="1:12" ht="39.950000000000003" customHeight="1" x14ac:dyDescent="0.25">
      <c r="A49" s="6" t="s">
        <v>446</v>
      </c>
      <c r="B49" s="7" t="s">
        <v>447</v>
      </c>
      <c r="C49" s="8">
        <v>1</v>
      </c>
      <c r="D49" s="9">
        <v>14.99</v>
      </c>
      <c r="E49" s="8" t="s">
        <v>448</v>
      </c>
      <c r="F49" s="7" t="s">
        <v>2355</v>
      </c>
      <c r="G49" s="10"/>
      <c r="H49" s="7" t="s">
        <v>2442</v>
      </c>
      <c r="I49" s="7" t="s">
        <v>2604</v>
      </c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  <row r="57" spans="1:12" ht="39.950000000000003" customHeight="1" x14ac:dyDescent="0.25">
      <c r="A57" s="6"/>
      <c r="B57" s="7"/>
      <c r="C57" s="8"/>
      <c r="D57" s="9"/>
      <c r="E57" s="8"/>
      <c r="F57" s="7"/>
      <c r="G57" s="10"/>
      <c r="H57" s="7"/>
      <c r="I57" s="7"/>
      <c r="J57" s="7"/>
      <c r="K57" s="7"/>
      <c r="L57" s="11"/>
    </row>
  </sheetData>
  <phoneticPr fontId="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56"/>
  <sheetViews>
    <sheetView workbookViewId="0">
      <selection activeCell="B44" sqref="B44"/>
    </sheetView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2350</v>
      </c>
      <c r="I1" s="5" t="s">
        <v>2351</v>
      </c>
      <c r="J1" s="5" t="s">
        <v>2352</v>
      </c>
      <c r="K1" s="5" t="s">
        <v>2353</v>
      </c>
      <c r="L1" s="5" t="s">
        <v>2354</v>
      </c>
    </row>
    <row r="2" spans="1:12" ht="39.950000000000003" customHeight="1" x14ac:dyDescent="0.25">
      <c r="A2" s="6" t="s">
        <v>449</v>
      </c>
      <c r="B2" s="7" t="s">
        <v>450</v>
      </c>
      <c r="C2" s="8">
        <v>1</v>
      </c>
      <c r="D2" s="9">
        <v>332.99</v>
      </c>
      <c r="E2" s="8" t="s">
        <v>451</v>
      </c>
      <c r="F2" s="7" t="s">
        <v>2424</v>
      </c>
      <c r="G2" s="10"/>
      <c r="H2" s="7" t="s">
        <v>2369</v>
      </c>
      <c r="I2" s="7" t="s">
        <v>2437</v>
      </c>
      <c r="J2" s="7" t="s">
        <v>2363</v>
      </c>
      <c r="K2" s="7" t="s">
        <v>2385</v>
      </c>
      <c r="L2" s="11" t="str">
        <f>HYPERLINK("http://slimages.macys.com/is/image/MCY/15504482 ")</f>
        <v xml:space="preserve">http://slimages.macys.com/is/image/MCY/15504482 </v>
      </c>
    </row>
    <row r="3" spans="1:12" ht="39.950000000000003" customHeight="1" x14ac:dyDescent="0.25">
      <c r="A3" s="6" t="s">
        <v>452</v>
      </c>
      <c r="B3" s="7" t="s">
        <v>453</v>
      </c>
      <c r="C3" s="8">
        <v>1</v>
      </c>
      <c r="D3" s="9">
        <v>249.99</v>
      </c>
      <c r="E3" s="8">
        <v>198808</v>
      </c>
      <c r="F3" s="7" t="s">
        <v>2355</v>
      </c>
      <c r="G3" s="10"/>
      <c r="H3" s="7" t="s">
        <v>2432</v>
      </c>
      <c r="I3" s="7" t="s">
        <v>454</v>
      </c>
      <c r="J3" s="7" t="s">
        <v>2363</v>
      </c>
      <c r="K3" s="7" t="s">
        <v>2389</v>
      </c>
      <c r="L3" s="11" t="str">
        <f>HYPERLINK("http://images.bloomingdales.com/is/image/BLM/8541806 ")</f>
        <v xml:space="preserve">http://images.bloomingdales.com/is/image/BLM/8541806 </v>
      </c>
    </row>
    <row r="4" spans="1:12" ht="39.950000000000003" customHeight="1" x14ac:dyDescent="0.25">
      <c r="A4" s="6" t="s">
        <v>455</v>
      </c>
      <c r="B4" s="7" t="s">
        <v>456</v>
      </c>
      <c r="C4" s="8">
        <v>1</v>
      </c>
      <c r="D4" s="9">
        <v>199.99</v>
      </c>
      <c r="E4" s="8" t="s">
        <v>457</v>
      </c>
      <c r="F4" s="7" t="s">
        <v>2495</v>
      </c>
      <c r="G4" s="10"/>
      <c r="H4" s="7" t="s">
        <v>2383</v>
      </c>
      <c r="I4" s="7" t="s">
        <v>2569</v>
      </c>
      <c r="J4" s="7" t="s">
        <v>2363</v>
      </c>
      <c r="K4" s="7" t="s">
        <v>458</v>
      </c>
      <c r="L4" s="11" t="str">
        <f>HYPERLINK("http://slimages.macys.com/is/image/MCY/9418829 ")</f>
        <v xml:space="preserve">http://slimages.macys.com/is/image/MCY/9418829 </v>
      </c>
    </row>
    <row r="5" spans="1:12" ht="39.950000000000003" customHeight="1" x14ac:dyDescent="0.25">
      <c r="A5" s="6" t="s">
        <v>459</v>
      </c>
      <c r="B5" s="7" t="s">
        <v>460</v>
      </c>
      <c r="C5" s="8">
        <v>1</v>
      </c>
      <c r="D5" s="9">
        <v>179.99</v>
      </c>
      <c r="E5" s="8">
        <v>600710451001</v>
      </c>
      <c r="F5" s="7" t="s">
        <v>2601</v>
      </c>
      <c r="G5" s="10"/>
      <c r="H5" s="7" t="s">
        <v>2906</v>
      </c>
      <c r="I5" s="7" t="s">
        <v>2907</v>
      </c>
      <c r="J5" s="7" t="s">
        <v>2363</v>
      </c>
      <c r="K5" s="7" t="s">
        <v>2389</v>
      </c>
      <c r="L5" s="11" t="str">
        <f>HYPERLINK("http://slimages.macys.com/is/image/MCY/10122971 ")</f>
        <v xml:space="preserve">http://slimages.macys.com/is/image/MCY/10122971 </v>
      </c>
    </row>
    <row r="6" spans="1:12" ht="39.950000000000003" customHeight="1" x14ac:dyDescent="0.25">
      <c r="A6" s="6" t="s">
        <v>461</v>
      </c>
      <c r="B6" s="7" t="s">
        <v>462</v>
      </c>
      <c r="C6" s="8">
        <v>1</v>
      </c>
      <c r="D6" s="9">
        <v>199.99</v>
      </c>
      <c r="E6" s="8" t="s">
        <v>463</v>
      </c>
      <c r="F6" s="7" t="s">
        <v>2558</v>
      </c>
      <c r="G6" s="10"/>
      <c r="H6" s="7" t="s">
        <v>2357</v>
      </c>
      <c r="I6" s="7" t="s">
        <v>2476</v>
      </c>
      <c r="J6" s="7" t="s">
        <v>2363</v>
      </c>
      <c r="K6" s="7" t="s">
        <v>464</v>
      </c>
      <c r="L6" s="11" t="str">
        <f>HYPERLINK("http://slimages.macys.com/is/image/MCY/12072107 ")</f>
        <v xml:space="preserve">http://slimages.macys.com/is/image/MCY/12072107 </v>
      </c>
    </row>
    <row r="7" spans="1:12" ht="39.950000000000003" customHeight="1" x14ac:dyDescent="0.25">
      <c r="A7" s="6" t="s">
        <v>465</v>
      </c>
      <c r="B7" s="7" t="s">
        <v>466</v>
      </c>
      <c r="C7" s="8">
        <v>1</v>
      </c>
      <c r="D7" s="9">
        <v>105.99</v>
      </c>
      <c r="E7" s="8" t="s">
        <v>467</v>
      </c>
      <c r="F7" s="7" t="s">
        <v>2495</v>
      </c>
      <c r="G7" s="10"/>
      <c r="H7" s="7" t="s">
        <v>2391</v>
      </c>
      <c r="I7" s="7" t="s">
        <v>2409</v>
      </c>
      <c r="J7" s="7" t="s">
        <v>2363</v>
      </c>
      <c r="K7" s="7" t="s">
        <v>2919</v>
      </c>
      <c r="L7" s="11" t="str">
        <f>HYPERLINK("http://slimages.macys.com/is/image/MCY/9798710 ")</f>
        <v xml:space="preserve">http://slimages.macys.com/is/image/MCY/9798710 </v>
      </c>
    </row>
    <row r="8" spans="1:12" ht="39.950000000000003" customHeight="1" x14ac:dyDescent="0.25">
      <c r="A8" s="6" t="s">
        <v>468</v>
      </c>
      <c r="B8" s="7" t="s">
        <v>469</v>
      </c>
      <c r="C8" s="8">
        <v>1</v>
      </c>
      <c r="D8" s="9">
        <v>119.99</v>
      </c>
      <c r="E8" s="8" t="s">
        <v>470</v>
      </c>
      <c r="F8" s="7" t="s">
        <v>2368</v>
      </c>
      <c r="G8" s="10"/>
      <c r="H8" s="7" t="s">
        <v>2369</v>
      </c>
      <c r="I8" s="7" t="s">
        <v>2409</v>
      </c>
      <c r="J8" s="7" t="s">
        <v>2363</v>
      </c>
      <c r="K8" s="7" t="s">
        <v>471</v>
      </c>
      <c r="L8" s="11" t="str">
        <f>HYPERLINK("http://slimages.macys.com/is/image/MCY/9627806 ")</f>
        <v xml:space="preserve">http://slimages.macys.com/is/image/MCY/9627806 </v>
      </c>
    </row>
    <row r="9" spans="1:12" ht="39.950000000000003" customHeight="1" x14ac:dyDescent="0.25">
      <c r="A9" s="6" t="s">
        <v>472</v>
      </c>
      <c r="B9" s="7" t="s">
        <v>473</v>
      </c>
      <c r="C9" s="8">
        <v>1</v>
      </c>
      <c r="D9" s="9">
        <v>84.99</v>
      </c>
      <c r="E9" s="8">
        <v>3514</v>
      </c>
      <c r="F9" s="7" t="s">
        <v>2355</v>
      </c>
      <c r="G9" s="10"/>
      <c r="H9" s="7" t="s">
        <v>2407</v>
      </c>
      <c r="I9" s="7" t="s">
        <v>2462</v>
      </c>
      <c r="J9" s="7" t="s">
        <v>2363</v>
      </c>
      <c r="K9" s="7" t="s">
        <v>2923</v>
      </c>
      <c r="L9" s="11" t="str">
        <f>HYPERLINK("http://slimages.macys.com/is/image/MCY/14370773 ")</f>
        <v xml:space="preserve">http://slimages.macys.com/is/image/MCY/14370773 </v>
      </c>
    </row>
    <row r="10" spans="1:12" ht="39.950000000000003" customHeight="1" x14ac:dyDescent="0.25">
      <c r="A10" s="6" t="s">
        <v>474</v>
      </c>
      <c r="B10" s="7" t="s">
        <v>475</v>
      </c>
      <c r="C10" s="8">
        <v>1</v>
      </c>
      <c r="D10" s="9">
        <v>68.989999999999995</v>
      </c>
      <c r="E10" s="8" t="s">
        <v>476</v>
      </c>
      <c r="F10" s="7"/>
      <c r="G10" s="10"/>
      <c r="H10" s="7" t="s">
        <v>2391</v>
      </c>
      <c r="I10" s="7" t="s">
        <v>2653</v>
      </c>
      <c r="J10" s="7" t="s">
        <v>2363</v>
      </c>
      <c r="K10" s="7" t="s">
        <v>2654</v>
      </c>
      <c r="L10" s="11" t="str">
        <f>HYPERLINK("http://slimages.macys.com/is/image/MCY/10155936 ")</f>
        <v xml:space="preserve">http://slimages.macys.com/is/image/MCY/10155936 </v>
      </c>
    </row>
    <row r="11" spans="1:12" ht="39.950000000000003" customHeight="1" x14ac:dyDescent="0.25">
      <c r="A11" s="6" t="s">
        <v>477</v>
      </c>
      <c r="B11" s="7" t="s">
        <v>478</v>
      </c>
      <c r="C11" s="8">
        <v>1</v>
      </c>
      <c r="D11" s="9">
        <v>69.989999999999995</v>
      </c>
      <c r="E11" s="8">
        <v>1003475600</v>
      </c>
      <c r="F11" s="7" t="s">
        <v>2355</v>
      </c>
      <c r="G11" s="10"/>
      <c r="H11" s="7" t="s">
        <v>2420</v>
      </c>
      <c r="I11" s="7" t="s">
        <v>2866</v>
      </c>
      <c r="J11" s="7"/>
      <c r="K11" s="7"/>
      <c r="L11" s="11" t="str">
        <f>HYPERLINK("http://slimages.macys.com/is/image/MCY/1855478 ")</f>
        <v xml:space="preserve">http://slimages.macys.com/is/image/MCY/1855478 </v>
      </c>
    </row>
    <row r="12" spans="1:12" ht="39.950000000000003" customHeight="1" x14ac:dyDescent="0.25">
      <c r="A12" s="6" t="s">
        <v>479</v>
      </c>
      <c r="B12" s="7" t="s">
        <v>480</v>
      </c>
      <c r="C12" s="8">
        <v>15</v>
      </c>
      <c r="D12" s="9">
        <v>1199.8499999999999</v>
      </c>
      <c r="E12" s="8">
        <v>10106628</v>
      </c>
      <c r="F12" s="7" t="s">
        <v>2436</v>
      </c>
      <c r="G12" s="10" t="s">
        <v>2450</v>
      </c>
      <c r="H12" s="7" t="s">
        <v>2357</v>
      </c>
      <c r="I12" s="7" t="s">
        <v>2593</v>
      </c>
      <c r="J12" s="7" t="s">
        <v>2363</v>
      </c>
      <c r="K12" s="7"/>
      <c r="L12" s="11" t="str">
        <f>HYPERLINK("http://slimages.macys.com/is/image/MCY/9332007 ")</f>
        <v xml:space="preserve">http://slimages.macys.com/is/image/MCY/9332007 </v>
      </c>
    </row>
    <row r="13" spans="1:12" ht="39.950000000000003" customHeight="1" x14ac:dyDescent="0.25">
      <c r="A13" s="6" t="s">
        <v>481</v>
      </c>
      <c r="B13" s="7" t="s">
        <v>482</v>
      </c>
      <c r="C13" s="8">
        <v>1</v>
      </c>
      <c r="D13" s="9">
        <v>49.99</v>
      </c>
      <c r="E13" s="8" t="s">
        <v>483</v>
      </c>
      <c r="F13" s="7" t="s">
        <v>2362</v>
      </c>
      <c r="G13" s="10"/>
      <c r="H13" s="7" t="s">
        <v>2458</v>
      </c>
      <c r="I13" s="7" t="s">
        <v>3144</v>
      </c>
      <c r="J13" s="7" t="s">
        <v>2363</v>
      </c>
      <c r="K13" s="7" t="s">
        <v>2389</v>
      </c>
      <c r="L13" s="11" t="str">
        <f>HYPERLINK("http://slimages.macys.com/is/image/MCY/1083783 ")</f>
        <v xml:space="preserve">http://slimages.macys.com/is/image/MCY/1083783 </v>
      </c>
    </row>
    <row r="14" spans="1:12" ht="39.950000000000003" customHeight="1" x14ac:dyDescent="0.25">
      <c r="A14" s="6" t="s">
        <v>484</v>
      </c>
      <c r="B14" s="7" t="s">
        <v>485</v>
      </c>
      <c r="C14" s="8">
        <v>1</v>
      </c>
      <c r="D14" s="9">
        <v>78.989999999999995</v>
      </c>
      <c r="E14" s="8" t="s">
        <v>486</v>
      </c>
      <c r="F14" s="7" t="s">
        <v>2368</v>
      </c>
      <c r="G14" s="10"/>
      <c r="H14" s="7" t="s">
        <v>2369</v>
      </c>
      <c r="I14" s="7" t="s">
        <v>2503</v>
      </c>
      <c r="J14" s="7" t="s">
        <v>2363</v>
      </c>
      <c r="K14" s="7" t="s">
        <v>487</v>
      </c>
      <c r="L14" s="11" t="str">
        <f>HYPERLINK("http://slimages.macys.com/is/image/MCY/12677575 ")</f>
        <v xml:space="preserve">http://slimages.macys.com/is/image/MCY/12677575 </v>
      </c>
    </row>
    <row r="15" spans="1:12" ht="39.950000000000003" customHeight="1" x14ac:dyDescent="0.25">
      <c r="A15" s="6" t="s">
        <v>488</v>
      </c>
      <c r="B15" s="7" t="s">
        <v>489</v>
      </c>
      <c r="C15" s="8">
        <v>1</v>
      </c>
      <c r="D15" s="9">
        <v>59.99</v>
      </c>
      <c r="E15" s="8">
        <v>16718238</v>
      </c>
      <c r="F15" s="7" t="s">
        <v>2905</v>
      </c>
      <c r="G15" s="10"/>
      <c r="H15" s="7" t="s">
        <v>2432</v>
      </c>
      <c r="I15" s="7" t="s">
        <v>2605</v>
      </c>
      <c r="J15" s="7" t="s">
        <v>2363</v>
      </c>
      <c r="K15" s="7" t="s">
        <v>2389</v>
      </c>
      <c r="L15" s="11" t="str">
        <f>HYPERLINK("http://slimages.macys.com/is/image/MCY/3073694 ")</f>
        <v xml:space="preserve">http://slimages.macys.com/is/image/MCY/3073694 </v>
      </c>
    </row>
    <row r="16" spans="1:12" ht="39.950000000000003" customHeight="1" x14ac:dyDescent="0.25">
      <c r="A16" s="6" t="s">
        <v>490</v>
      </c>
      <c r="B16" s="7" t="s">
        <v>491</v>
      </c>
      <c r="C16" s="8">
        <v>1</v>
      </c>
      <c r="D16" s="9">
        <v>59.99</v>
      </c>
      <c r="E16" s="8">
        <v>15831238</v>
      </c>
      <c r="F16" s="7" t="s">
        <v>2454</v>
      </c>
      <c r="G16" s="10"/>
      <c r="H16" s="7" t="s">
        <v>2432</v>
      </c>
      <c r="I16" s="7" t="s">
        <v>2605</v>
      </c>
      <c r="J16" s="7" t="s">
        <v>2363</v>
      </c>
      <c r="K16" s="7" t="s">
        <v>2389</v>
      </c>
      <c r="L16" s="11" t="str">
        <f>HYPERLINK("http://slimages.macys.com/is/image/MCY/3073694 ")</f>
        <v xml:space="preserve">http://slimages.macys.com/is/image/MCY/3073694 </v>
      </c>
    </row>
    <row r="17" spans="1:12" ht="39.950000000000003" customHeight="1" x14ac:dyDescent="0.25">
      <c r="A17" s="6" t="s">
        <v>492</v>
      </c>
      <c r="B17" s="7" t="s">
        <v>493</v>
      </c>
      <c r="C17" s="8">
        <v>1</v>
      </c>
      <c r="D17" s="9">
        <v>59.99</v>
      </c>
      <c r="E17" s="8" t="s">
        <v>494</v>
      </c>
      <c r="F17" s="7" t="s">
        <v>2568</v>
      </c>
      <c r="G17" s="10"/>
      <c r="H17" s="7" t="s">
        <v>2535</v>
      </c>
      <c r="I17" s="7" t="s">
        <v>2604</v>
      </c>
      <c r="J17" s="7" t="s">
        <v>2363</v>
      </c>
      <c r="K17" s="7" t="s">
        <v>2385</v>
      </c>
      <c r="L17" s="11" t="str">
        <f>HYPERLINK("http://slimages.macys.com/is/image/MCY/10249494 ")</f>
        <v xml:space="preserve">http://slimages.macys.com/is/image/MCY/10249494 </v>
      </c>
    </row>
    <row r="18" spans="1:12" ht="39.950000000000003" customHeight="1" x14ac:dyDescent="0.25">
      <c r="A18" s="6" t="s">
        <v>495</v>
      </c>
      <c r="B18" s="7" t="s">
        <v>496</v>
      </c>
      <c r="C18" s="8">
        <v>1</v>
      </c>
      <c r="D18" s="9">
        <v>59.99</v>
      </c>
      <c r="E18" s="8">
        <v>100051230</v>
      </c>
      <c r="F18" s="7" t="s">
        <v>2477</v>
      </c>
      <c r="G18" s="10"/>
      <c r="H18" s="7" t="s">
        <v>2486</v>
      </c>
      <c r="I18" s="7" t="s">
        <v>497</v>
      </c>
      <c r="J18" s="7" t="s">
        <v>2363</v>
      </c>
      <c r="K18" s="7" t="s">
        <v>498</v>
      </c>
      <c r="L18" s="11" t="str">
        <f>HYPERLINK("http://slimages.macys.com/is/image/MCY/11471280 ")</f>
        <v xml:space="preserve">http://slimages.macys.com/is/image/MCY/11471280 </v>
      </c>
    </row>
    <row r="19" spans="1:12" ht="39.950000000000003" customHeight="1" x14ac:dyDescent="0.25">
      <c r="A19" s="6" t="s">
        <v>2841</v>
      </c>
      <c r="B19" s="7" t="s">
        <v>2842</v>
      </c>
      <c r="C19" s="8">
        <v>1</v>
      </c>
      <c r="D19" s="9">
        <v>69.989999999999995</v>
      </c>
      <c r="E19" s="8" t="s">
        <v>2843</v>
      </c>
      <c r="F19" s="7" t="s">
        <v>2362</v>
      </c>
      <c r="G19" s="10"/>
      <c r="H19" s="7" t="s">
        <v>2357</v>
      </c>
      <c r="I19" s="7" t="s">
        <v>2358</v>
      </c>
      <c r="J19" s="7" t="s">
        <v>2363</v>
      </c>
      <c r="K19" s="7" t="s">
        <v>2367</v>
      </c>
      <c r="L19" s="11" t="str">
        <f>HYPERLINK("http://slimages.macys.com/is/image/MCY/9621143 ")</f>
        <v xml:space="preserve">http://slimages.macys.com/is/image/MCY/9621143 </v>
      </c>
    </row>
    <row r="20" spans="1:12" ht="39.950000000000003" customHeight="1" x14ac:dyDescent="0.25">
      <c r="A20" s="6" t="s">
        <v>499</v>
      </c>
      <c r="B20" s="7" t="s">
        <v>500</v>
      </c>
      <c r="C20" s="8">
        <v>2</v>
      </c>
      <c r="D20" s="9">
        <v>97.98</v>
      </c>
      <c r="E20" s="8" t="s">
        <v>501</v>
      </c>
      <c r="F20" s="7" t="s">
        <v>2512</v>
      </c>
      <c r="G20" s="10"/>
      <c r="H20" s="7" t="s">
        <v>2391</v>
      </c>
      <c r="I20" s="7" t="s">
        <v>2574</v>
      </c>
      <c r="J20" s="7" t="s">
        <v>2460</v>
      </c>
      <c r="K20" s="7" t="s">
        <v>502</v>
      </c>
      <c r="L20" s="11" t="str">
        <f>HYPERLINK("http://slimages.macys.com/is/image/MCY/9865308 ")</f>
        <v xml:space="preserve">http://slimages.macys.com/is/image/MCY/9865308 </v>
      </c>
    </row>
    <row r="21" spans="1:12" ht="39.950000000000003" customHeight="1" x14ac:dyDescent="0.25">
      <c r="A21" s="6" t="s">
        <v>503</v>
      </c>
      <c r="B21" s="7" t="s">
        <v>504</v>
      </c>
      <c r="C21" s="8">
        <v>1</v>
      </c>
      <c r="D21" s="9">
        <v>64.989999999999995</v>
      </c>
      <c r="E21" s="8" t="s">
        <v>505</v>
      </c>
      <c r="F21" s="7" t="s">
        <v>2403</v>
      </c>
      <c r="G21" s="10"/>
      <c r="H21" s="7" t="s">
        <v>2369</v>
      </c>
      <c r="I21" s="7" t="s">
        <v>2503</v>
      </c>
      <c r="J21" s="7" t="s">
        <v>2363</v>
      </c>
      <c r="K21" s="7" t="s">
        <v>2504</v>
      </c>
      <c r="L21" s="11" t="str">
        <f>HYPERLINK("http://slimages.macys.com/is/image/MCY/12678055 ")</f>
        <v xml:space="preserve">http://slimages.macys.com/is/image/MCY/12678055 </v>
      </c>
    </row>
    <row r="22" spans="1:12" ht="39.950000000000003" customHeight="1" x14ac:dyDescent="0.25">
      <c r="A22" s="6" t="s">
        <v>2802</v>
      </c>
      <c r="B22" s="7" t="s">
        <v>2803</v>
      </c>
      <c r="C22" s="8">
        <v>1</v>
      </c>
      <c r="D22" s="9">
        <v>67.989999999999995</v>
      </c>
      <c r="E22" s="8" t="s">
        <v>2804</v>
      </c>
      <c r="F22" s="7" t="s">
        <v>2399</v>
      </c>
      <c r="G22" s="10"/>
      <c r="H22" s="7" t="s">
        <v>2391</v>
      </c>
      <c r="I22" s="7" t="s">
        <v>2508</v>
      </c>
      <c r="J22" s="7" t="s">
        <v>2363</v>
      </c>
      <c r="K22" s="7" t="s">
        <v>2385</v>
      </c>
      <c r="L22" s="11" t="str">
        <f>HYPERLINK("http://slimages.macys.com/is/image/MCY/13066727 ")</f>
        <v xml:space="preserve">http://slimages.macys.com/is/image/MCY/13066727 </v>
      </c>
    </row>
    <row r="23" spans="1:12" ht="39.950000000000003" customHeight="1" x14ac:dyDescent="0.25">
      <c r="A23" s="6" t="s">
        <v>506</v>
      </c>
      <c r="B23" s="7" t="s">
        <v>507</v>
      </c>
      <c r="C23" s="8">
        <v>1</v>
      </c>
      <c r="D23" s="9">
        <v>36.99</v>
      </c>
      <c r="E23" s="8">
        <v>47372</v>
      </c>
      <c r="F23" s="7" t="s">
        <v>2435</v>
      </c>
      <c r="G23" s="10"/>
      <c r="H23" s="7" t="s">
        <v>2391</v>
      </c>
      <c r="I23" s="7" t="s">
        <v>2456</v>
      </c>
      <c r="J23" s="7" t="s">
        <v>2363</v>
      </c>
      <c r="K23" s="7" t="s">
        <v>2385</v>
      </c>
      <c r="L23" s="11" t="str">
        <f>HYPERLINK("http://slimages.macys.com/is/image/MCY/3208152 ")</f>
        <v xml:space="preserve">http://slimages.macys.com/is/image/MCY/3208152 </v>
      </c>
    </row>
    <row r="24" spans="1:12" ht="39.950000000000003" customHeight="1" x14ac:dyDescent="0.25">
      <c r="A24" s="6" t="s">
        <v>508</v>
      </c>
      <c r="B24" s="7" t="s">
        <v>509</v>
      </c>
      <c r="C24" s="8">
        <v>1</v>
      </c>
      <c r="D24" s="9">
        <v>39.99</v>
      </c>
      <c r="E24" s="8" t="s">
        <v>510</v>
      </c>
      <c r="F24" s="7" t="s">
        <v>2368</v>
      </c>
      <c r="G24" s="10"/>
      <c r="H24" s="7" t="s">
        <v>2391</v>
      </c>
      <c r="I24" s="7" t="s">
        <v>2409</v>
      </c>
      <c r="J24" s="7" t="s">
        <v>2363</v>
      </c>
      <c r="K24" s="7" t="s">
        <v>511</v>
      </c>
      <c r="L24" s="11" t="str">
        <f>HYPERLINK("http://slimages.macys.com/is/image/MCY/8064912 ")</f>
        <v xml:space="preserve">http://slimages.macys.com/is/image/MCY/8064912 </v>
      </c>
    </row>
    <row r="25" spans="1:12" ht="39.950000000000003" customHeight="1" x14ac:dyDescent="0.25">
      <c r="A25" s="6" t="s">
        <v>512</v>
      </c>
      <c r="B25" s="7" t="s">
        <v>513</v>
      </c>
      <c r="C25" s="8">
        <v>1</v>
      </c>
      <c r="D25" s="9">
        <v>39.99</v>
      </c>
      <c r="E25" s="8" t="s">
        <v>514</v>
      </c>
      <c r="F25" s="7" t="s">
        <v>2403</v>
      </c>
      <c r="G25" s="10"/>
      <c r="H25" s="7" t="s">
        <v>2391</v>
      </c>
      <c r="I25" s="7" t="s">
        <v>2409</v>
      </c>
      <c r="J25" s="7" t="s">
        <v>2363</v>
      </c>
      <c r="K25" s="7" t="s">
        <v>511</v>
      </c>
      <c r="L25" s="11" t="str">
        <f>HYPERLINK("http://slimages.macys.com/is/image/MCY/8064912 ")</f>
        <v xml:space="preserve">http://slimages.macys.com/is/image/MCY/8064912 </v>
      </c>
    </row>
    <row r="26" spans="1:12" ht="39.950000000000003" customHeight="1" x14ac:dyDescent="0.25">
      <c r="A26" s="6" t="s">
        <v>515</v>
      </c>
      <c r="B26" s="7" t="s">
        <v>516</v>
      </c>
      <c r="C26" s="8">
        <v>2</v>
      </c>
      <c r="D26" s="9">
        <v>119.98</v>
      </c>
      <c r="E26" s="8">
        <v>10004845700</v>
      </c>
      <c r="F26" s="7" t="s">
        <v>2381</v>
      </c>
      <c r="G26" s="10" t="s">
        <v>2501</v>
      </c>
      <c r="H26" s="7" t="s">
        <v>2427</v>
      </c>
      <c r="I26" s="7" t="s">
        <v>517</v>
      </c>
      <c r="J26" s="7" t="s">
        <v>2363</v>
      </c>
      <c r="K26" s="7"/>
      <c r="L26" s="11" t="str">
        <f>HYPERLINK("http://slimages.macys.com/is/image/MCY/11975502 ")</f>
        <v xml:space="preserve">http://slimages.macys.com/is/image/MCY/11975502 </v>
      </c>
    </row>
    <row r="27" spans="1:12" ht="39.950000000000003" customHeight="1" x14ac:dyDescent="0.25">
      <c r="A27" s="6" t="s">
        <v>518</v>
      </c>
      <c r="B27" s="7" t="s">
        <v>519</v>
      </c>
      <c r="C27" s="8">
        <v>1</v>
      </c>
      <c r="D27" s="9">
        <v>34.99</v>
      </c>
      <c r="E27" s="8" t="s">
        <v>520</v>
      </c>
      <c r="F27" s="7" t="s">
        <v>2558</v>
      </c>
      <c r="G27" s="10" t="s">
        <v>2426</v>
      </c>
      <c r="H27" s="7" t="s">
        <v>2391</v>
      </c>
      <c r="I27" s="7" t="s">
        <v>2409</v>
      </c>
      <c r="J27" s="7" t="s">
        <v>2363</v>
      </c>
      <c r="K27" s="7" t="s">
        <v>521</v>
      </c>
      <c r="L27" s="11" t="str">
        <f>HYPERLINK("http://slimages.macys.com/is/image/MCY/9612551 ")</f>
        <v xml:space="preserve">http://slimages.macys.com/is/image/MCY/9612551 </v>
      </c>
    </row>
    <row r="28" spans="1:12" ht="39.950000000000003" customHeight="1" x14ac:dyDescent="0.25">
      <c r="A28" s="6" t="s">
        <v>522</v>
      </c>
      <c r="B28" s="7" t="s">
        <v>523</v>
      </c>
      <c r="C28" s="8">
        <v>1</v>
      </c>
      <c r="D28" s="9">
        <v>39.99</v>
      </c>
      <c r="E28" s="8" t="s">
        <v>524</v>
      </c>
      <c r="F28" s="7" t="s">
        <v>2390</v>
      </c>
      <c r="G28" s="10"/>
      <c r="H28" s="7" t="s">
        <v>2532</v>
      </c>
      <c r="I28" s="7" t="s">
        <v>2409</v>
      </c>
      <c r="J28" s="7" t="s">
        <v>2496</v>
      </c>
      <c r="K28" s="7" t="s">
        <v>2385</v>
      </c>
      <c r="L28" s="11" t="str">
        <f>HYPERLINK("http://slimages.macys.com/is/image/MCY/11703270 ")</f>
        <v xml:space="preserve">http://slimages.macys.com/is/image/MCY/11703270 </v>
      </c>
    </row>
    <row r="29" spans="1:12" ht="39.950000000000003" customHeight="1" x14ac:dyDescent="0.25">
      <c r="A29" s="6" t="s">
        <v>525</v>
      </c>
      <c r="B29" s="7" t="s">
        <v>526</v>
      </c>
      <c r="C29" s="8">
        <v>1</v>
      </c>
      <c r="D29" s="9">
        <v>39.99</v>
      </c>
      <c r="E29" s="8" t="s">
        <v>527</v>
      </c>
      <c r="F29" s="7" t="s">
        <v>2355</v>
      </c>
      <c r="G29" s="10" t="s">
        <v>2646</v>
      </c>
      <c r="H29" s="7" t="s">
        <v>2413</v>
      </c>
      <c r="I29" s="7" t="s">
        <v>2807</v>
      </c>
      <c r="J29" s="7" t="s">
        <v>2452</v>
      </c>
      <c r="K29" s="7"/>
      <c r="L29" s="11" t="str">
        <f>HYPERLINK("http://slimages.macys.com/is/image/MCY/8557137 ")</f>
        <v xml:space="preserve">http://slimages.macys.com/is/image/MCY/8557137 </v>
      </c>
    </row>
    <row r="30" spans="1:12" ht="39.950000000000003" customHeight="1" x14ac:dyDescent="0.25">
      <c r="A30" s="6" t="s">
        <v>528</v>
      </c>
      <c r="B30" s="7" t="s">
        <v>529</v>
      </c>
      <c r="C30" s="8">
        <v>1</v>
      </c>
      <c r="D30" s="9">
        <v>39.99</v>
      </c>
      <c r="E30" s="8">
        <v>100071305</v>
      </c>
      <c r="F30" s="7" t="s">
        <v>530</v>
      </c>
      <c r="G30" s="10"/>
      <c r="H30" s="7" t="s">
        <v>2427</v>
      </c>
      <c r="I30" s="7" t="s">
        <v>3274</v>
      </c>
      <c r="J30" s="7" t="s">
        <v>2363</v>
      </c>
      <c r="K30" s="7"/>
      <c r="L30" s="11" t="str">
        <f>HYPERLINK("http://slimages.macys.com/is/image/MCY/14337686 ")</f>
        <v xml:space="preserve">http://slimages.macys.com/is/image/MCY/14337686 </v>
      </c>
    </row>
    <row r="31" spans="1:12" ht="39.950000000000003" customHeight="1" x14ac:dyDescent="0.25">
      <c r="A31" s="6" t="s">
        <v>531</v>
      </c>
      <c r="B31" s="7" t="s">
        <v>532</v>
      </c>
      <c r="C31" s="8">
        <v>1</v>
      </c>
      <c r="D31" s="9">
        <v>29.99</v>
      </c>
      <c r="E31" s="8" t="s">
        <v>533</v>
      </c>
      <c r="F31" s="7" t="s">
        <v>2615</v>
      </c>
      <c r="G31" s="10"/>
      <c r="H31" s="7" t="s">
        <v>2375</v>
      </c>
      <c r="I31" s="7" t="s">
        <v>2376</v>
      </c>
      <c r="J31" s="7" t="s">
        <v>2363</v>
      </c>
      <c r="K31" s="7" t="s">
        <v>534</v>
      </c>
      <c r="L31" s="11" t="str">
        <f>HYPERLINK("http://slimages.macys.com/is/image/MCY/9778041 ")</f>
        <v xml:space="preserve">http://slimages.macys.com/is/image/MCY/9778041 </v>
      </c>
    </row>
    <row r="32" spans="1:12" ht="39.950000000000003" customHeight="1" x14ac:dyDescent="0.25">
      <c r="A32" s="6" t="s">
        <v>535</v>
      </c>
      <c r="B32" s="7" t="s">
        <v>536</v>
      </c>
      <c r="C32" s="8">
        <v>3</v>
      </c>
      <c r="D32" s="9">
        <v>65.97</v>
      </c>
      <c r="E32" s="8" t="s">
        <v>537</v>
      </c>
      <c r="F32" s="7" t="s">
        <v>2379</v>
      </c>
      <c r="G32" s="10"/>
      <c r="H32" s="7" t="s">
        <v>2391</v>
      </c>
      <c r="I32" s="7" t="s">
        <v>538</v>
      </c>
      <c r="J32" s="7" t="s">
        <v>2363</v>
      </c>
      <c r="K32" s="7" t="s">
        <v>539</v>
      </c>
      <c r="L32" s="11" t="str">
        <f>HYPERLINK("http://slimages.macys.com/is/image/MCY/2469553 ")</f>
        <v xml:space="preserve">http://slimages.macys.com/is/image/MCY/2469553 </v>
      </c>
    </row>
    <row r="33" spans="1:12" ht="39.950000000000003" customHeight="1" x14ac:dyDescent="0.25">
      <c r="A33" s="6" t="s">
        <v>2563</v>
      </c>
      <c r="B33" s="7" t="s">
        <v>2564</v>
      </c>
      <c r="C33" s="8">
        <v>2</v>
      </c>
      <c r="D33" s="9">
        <v>35.979999999999997</v>
      </c>
      <c r="E33" s="8" t="s">
        <v>2565</v>
      </c>
      <c r="F33" s="7" t="s">
        <v>2417</v>
      </c>
      <c r="G33" s="10"/>
      <c r="H33" s="7" t="s">
        <v>2391</v>
      </c>
      <c r="I33" s="7" t="s">
        <v>2456</v>
      </c>
      <c r="J33" s="7" t="s">
        <v>2363</v>
      </c>
      <c r="K33" s="7"/>
      <c r="L33" s="11" t="str">
        <f>HYPERLINK("http://slimages.macys.com/is/image/MCY/10007752 ")</f>
        <v xml:space="preserve">http://slimages.macys.com/is/image/MCY/10007752 </v>
      </c>
    </row>
    <row r="34" spans="1:12" ht="39.950000000000003" customHeight="1" x14ac:dyDescent="0.25">
      <c r="A34" s="6" t="s">
        <v>540</v>
      </c>
      <c r="B34" s="7" t="s">
        <v>541</v>
      </c>
      <c r="C34" s="8">
        <v>1</v>
      </c>
      <c r="D34" s="9">
        <v>18.989999999999998</v>
      </c>
      <c r="E34" s="8" t="s">
        <v>542</v>
      </c>
      <c r="F34" s="7" t="s">
        <v>2355</v>
      </c>
      <c r="G34" s="10" t="s">
        <v>2616</v>
      </c>
      <c r="H34" s="7" t="s">
        <v>2420</v>
      </c>
      <c r="I34" s="7" t="s">
        <v>2621</v>
      </c>
      <c r="J34" s="7" t="s">
        <v>2452</v>
      </c>
      <c r="K34" s="7" t="s">
        <v>2625</v>
      </c>
      <c r="L34" s="11" t="str">
        <f>HYPERLINK("http://slimages.macys.com/is/image/MCY/11189803 ")</f>
        <v xml:space="preserve">http://slimages.macys.com/is/image/MCY/11189803 </v>
      </c>
    </row>
    <row r="35" spans="1:12" ht="39.950000000000003" customHeight="1" x14ac:dyDescent="0.25">
      <c r="A35" s="6" t="s">
        <v>543</v>
      </c>
      <c r="B35" s="7" t="s">
        <v>544</v>
      </c>
      <c r="C35" s="8">
        <v>3</v>
      </c>
      <c r="D35" s="9">
        <v>59.97</v>
      </c>
      <c r="E35" s="8" t="s">
        <v>545</v>
      </c>
      <c r="F35" s="7" t="s">
        <v>2446</v>
      </c>
      <c r="G35" s="10"/>
      <c r="H35" s="7" t="s">
        <v>2391</v>
      </c>
      <c r="I35" s="7" t="s">
        <v>2409</v>
      </c>
      <c r="J35" s="7" t="s">
        <v>2363</v>
      </c>
      <c r="K35" s="7"/>
      <c r="L35" s="11" t="str">
        <f>HYPERLINK("http://slimages.macys.com/is/image/MCY/9927294 ")</f>
        <v xml:space="preserve">http://slimages.macys.com/is/image/MCY/9927294 </v>
      </c>
    </row>
    <row r="36" spans="1:12" ht="39.950000000000003" customHeight="1" x14ac:dyDescent="0.25">
      <c r="A36" s="6" t="s">
        <v>546</v>
      </c>
      <c r="B36" s="7" t="s">
        <v>547</v>
      </c>
      <c r="C36" s="8">
        <v>2</v>
      </c>
      <c r="D36" s="9">
        <v>19.98</v>
      </c>
      <c r="E36" s="8" t="s">
        <v>548</v>
      </c>
      <c r="F36" s="7" t="s">
        <v>2446</v>
      </c>
      <c r="G36" s="10"/>
      <c r="H36" s="7" t="s">
        <v>2391</v>
      </c>
      <c r="I36" s="7" t="s">
        <v>2653</v>
      </c>
      <c r="J36" s="7" t="s">
        <v>2363</v>
      </c>
      <c r="K36" s="7"/>
      <c r="L36" s="11" t="str">
        <f>HYPERLINK("http://slimages.macys.com/is/image/MCY/15383514 ")</f>
        <v xml:space="preserve">http://slimages.macys.com/is/image/MCY/15383514 </v>
      </c>
    </row>
    <row r="37" spans="1:12" ht="39.950000000000003" customHeight="1" x14ac:dyDescent="0.25">
      <c r="A37" s="6" t="s">
        <v>549</v>
      </c>
      <c r="B37" s="7" t="s">
        <v>550</v>
      </c>
      <c r="C37" s="8">
        <v>2</v>
      </c>
      <c r="D37" s="9">
        <v>37.979999999999997</v>
      </c>
      <c r="E37" s="8" t="s">
        <v>551</v>
      </c>
      <c r="F37" s="7" t="s">
        <v>2379</v>
      </c>
      <c r="G37" s="10"/>
      <c r="H37" s="7" t="s">
        <v>2391</v>
      </c>
      <c r="I37" s="7" t="s">
        <v>538</v>
      </c>
      <c r="J37" s="7" t="s">
        <v>2363</v>
      </c>
      <c r="K37" s="7"/>
      <c r="L37" s="11" t="str">
        <f>HYPERLINK("http://slimages.macys.com/is/image/MCY/9692228 ")</f>
        <v xml:space="preserve">http://slimages.macys.com/is/image/MCY/9692228 </v>
      </c>
    </row>
    <row r="38" spans="1:12" ht="39.950000000000003" customHeight="1" x14ac:dyDescent="0.25">
      <c r="A38" s="6" t="s">
        <v>552</v>
      </c>
      <c r="B38" s="7" t="s">
        <v>553</v>
      </c>
      <c r="C38" s="8">
        <v>1</v>
      </c>
      <c r="D38" s="9">
        <v>59.99</v>
      </c>
      <c r="E38" s="8">
        <v>90538</v>
      </c>
      <c r="F38" s="7" t="s">
        <v>2468</v>
      </c>
      <c r="G38" s="10" t="s">
        <v>2469</v>
      </c>
      <c r="H38" s="7" t="s">
        <v>2407</v>
      </c>
      <c r="I38" s="7" t="s">
        <v>554</v>
      </c>
      <c r="J38" s="7" t="s">
        <v>2795</v>
      </c>
      <c r="K38" s="7" t="s">
        <v>555</v>
      </c>
      <c r="L38" s="11" t="str">
        <f>HYPERLINK("http://slimages.macys.com/is/image/MCY/2107759 ")</f>
        <v xml:space="preserve">http://slimages.macys.com/is/image/MCY/2107759 </v>
      </c>
    </row>
    <row r="39" spans="1:12" ht="39.950000000000003" customHeight="1" x14ac:dyDescent="0.25">
      <c r="A39" s="6" t="s">
        <v>556</v>
      </c>
      <c r="B39" s="7" t="s">
        <v>557</v>
      </c>
      <c r="C39" s="8">
        <v>1</v>
      </c>
      <c r="D39" s="9">
        <v>34.99</v>
      </c>
      <c r="E39" s="8" t="s">
        <v>3311</v>
      </c>
      <c r="F39" s="7" t="s">
        <v>2381</v>
      </c>
      <c r="G39" s="10"/>
      <c r="H39" s="7" t="s">
        <v>2375</v>
      </c>
      <c r="I39" s="7" t="s">
        <v>3312</v>
      </c>
      <c r="J39" s="7" t="s">
        <v>2363</v>
      </c>
      <c r="K39" s="7" t="s">
        <v>2385</v>
      </c>
      <c r="L39" s="11" t="str">
        <f>HYPERLINK("http://slimages.macys.com/is/image/MCY/14601403 ")</f>
        <v xml:space="preserve">http://slimages.macys.com/is/image/MCY/14601403 </v>
      </c>
    </row>
    <row r="40" spans="1:12" ht="39.950000000000003" customHeight="1" x14ac:dyDescent="0.25">
      <c r="A40" s="6" t="s">
        <v>3309</v>
      </c>
      <c r="B40" s="7" t="s">
        <v>3310</v>
      </c>
      <c r="C40" s="8">
        <v>1</v>
      </c>
      <c r="D40" s="9">
        <v>34.99</v>
      </c>
      <c r="E40" s="8" t="s">
        <v>3311</v>
      </c>
      <c r="F40" s="7" t="s">
        <v>2362</v>
      </c>
      <c r="G40" s="10"/>
      <c r="H40" s="7" t="s">
        <v>2375</v>
      </c>
      <c r="I40" s="7" t="s">
        <v>3312</v>
      </c>
      <c r="J40" s="7" t="s">
        <v>2363</v>
      </c>
      <c r="K40" s="7" t="s">
        <v>2385</v>
      </c>
      <c r="L40" s="11" t="str">
        <f>HYPERLINK("http://slimages.macys.com/is/image/MCY/14601403 ")</f>
        <v xml:space="preserve">http://slimages.macys.com/is/image/MCY/14601403 </v>
      </c>
    </row>
    <row r="41" spans="1:12" ht="39.950000000000003" customHeight="1" x14ac:dyDescent="0.25">
      <c r="A41" s="6" t="s">
        <v>558</v>
      </c>
      <c r="B41" s="7" t="s">
        <v>559</v>
      </c>
      <c r="C41" s="8">
        <v>1</v>
      </c>
      <c r="D41" s="9">
        <v>19.989999999999998</v>
      </c>
      <c r="E41" s="8" t="s">
        <v>560</v>
      </c>
      <c r="F41" s="7" t="s">
        <v>2368</v>
      </c>
      <c r="G41" s="10"/>
      <c r="H41" s="7" t="s">
        <v>2427</v>
      </c>
      <c r="I41" s="7" t="s">
        <v>2227</v>
      </c>
      <c r="J41" s="7" t="s">
        <v>2496</v>
      </c>
      <c r="K41" s="7" t="s">
        <v>2385</v>
      </c>
      <c r="L41" s="11" t="str">
        <f>HYPERLINK("http://slimages.macys.com/is/image/MCY/9844268 ")</f>
        <v xml:space="preserve">http://slimages.macys.com/is/image/MCY/9844268 </v>
      </c>
    </row>
    <row r="42" spans="1:12" ht="39.950000000000003" customHeight="1" x14ac:dyDescent="0.25">
      <c r="A42" s="6" t="s">
        <v>561</v>
      </c>
      <c r="B42" s="7" t="s">
        <v>562</v>
      </c>
      <c r="C42" s="8">
        <v>1</v>
      </c>
      <c r="D42" s="9">
        <v>34.99</v>
      </c>
      <c r="E42" s="8" t="s">
        <v>563</v>
      </c>
      <c r="F42" s="7" t="s">
        <v>2512</v>
      </c>
      <c r="G42" s="10"/>
      <c r="H42" s="7" t="s">
        <v>2375</v>
      </c>
      <c r="I42" s="7" t="s">
        <v>2376</v>
      </c>
      <c r="J42" s="7" t="s">
        <v>2363</v>
      </c>
      <c r="K42" s="7" t="s">
        <v>2654</v>
      </c>
      <c r="L42" s="11" t="str">
        <f>HYPERLINK("http://slimages.macys.com/is/image/MCY/15105815 ")</f>
        <v xml:space="preserve">http://slimages.macys.com/is/image/MCY/15105815 </v>
      </c>
    </row>
    <row r="43" spans="1:12" ht="39.950000000000003" customHeight="1" x14ac:dyDescent="0.25">
      <c r="A43" s="6" t="s">
        <v>564</v>
      </c>
      <c r="B43" s="7" t="s">
        <v>565</v>
      </c>
      <c r="C43" s="8">
        <v>1</v>
      </c>
      <c r="D43" s="9">
        <v>22.99</v>
      </c>
      <c r="E43" s="8" t="s">
        <v>566</v>
      </c>
      <c r="F43" s="7" t="s">
        <v>2355</v>
      </c>
      <c r="G43" s="10"/>
      <c r="H43" s="7" t="s">
        <v>2369</v>
      </c>
      <c r="I43" s="7" t="s">
        <v>1737</v>
      </c>
      <c r="J43" s="7" t="s">
        <v>2363</v>
      </c>
      <c r="K43" s="7" t="s">
        <v>2385</v>
      </c>
      <c r="L43" s="11" t="str">
        <f>HYPERLINK("http://slimages.macys.com/is/image/MCY/10182052 ")</f>
        <v xml:space="preserve">http://slimages.macys.com/is/image/MCY/10182052 </v>
      </c>
    </row>
    <row r="44" spans="1:12" ht="39.950000000000003" customHeight="1" x14ac:dyDescent="0.25">
      <c r="A44" s="6" t="s">
        <v>567</v>
      </c>
      <c r="B44" s="7" t="s">
        <v>568</v>
      </c>
      <c r="C44" s="8">
        <v>2</v>
      </c>
      <c r="D44" s="9">
        <v>41.98</v>
      </c>
      <c r="E44" s="8" t="s">
        <v>569</v>
      </c>
      <c r="F44" s="7" t="s">
        <v>2495</v>
      </c>
      <c r="G44" s="10"/>
      <c r="H44" s="7" t="s">
        <v>2369</v>
      </c>
      <c r="I44" s="7" t="s">
        <v>2748</v>
      </c>
      <c r="J44" s="7" t="s">
        <v>2363</v>
      </c>
      <c r="K44" s="7" t="s">
        <v>2654</v>
      </c>
      <c r="L44" s="11" t="str">
        <f>HYPERLINK("http://slimages.macys.com/is/image/MCY/13743089 ")</f>
        <v xml:space="preserve">http://slimages.macys.com/is/image/MCY/13743089 </v>
      </c>
    </row>
    <row r="45" spans="1:12" ht="39.950000000000003" customHeight="1" x14ac:dyDescent="0.25">
      <c r="A45" s="6" t="s">
        <v>570</v>
      </c>
      <c r="B45" s="7" t="s">
        <v>571</v>
      </c>
      <c r="C45" s="8">
        <v>2</v>
      </c>
      <c r="D45" s="9">
        <v>79.98</v>
      </c>
      <c r="E45" s="8" t="s">
        <v>572</v>
      </c>
      <c r="F45" s="7" t="s">
        <v>2436</v>
      </c>
      <c r="G45" s="10"/>
      <c r="H45" s="7" t="s">
        <v>2548</v>
      </c>
      <c r="I45" s="7" t="s">
        <v>2718</v>
      </c>
      <c r="J45" s="7" t="s">
        <v>2363</v>
      </c>
      <c r="K45" s="7" t="s">
        <v>2389</v>
      </c>
      <c r="L45" s="11" t="str">
        <f>HYPERLINK("http://slimages.macys.com/is/image/MCY/2861144 ")</f>
        <v xml:space="preserve">http://slimages.macys.com/is/image/MCY/2861144 </v>
      </c>
    </row>
    <row r="46" spans="1:12" ht="39.950000000000003" customHeight="1" x14ac:dyDescent="0.25">
      <c r="A46" s="6" t="s">
        <v>573</v>
      </c>
      <c r="B46" s="7" t="s">
        <v>574</v>
      </c>
      <c r="C46" s="8">
        <v>1</v>
      </c>
      <c r="D46" s="9">
        <v>10.99</v>
      </c>
      <c r="E46" s="8" t="s">
        <v>575</v>
      </c>
      <c r="F46" s="7" t="s">
        <v>2538</v>
      </c>
      <c r="G46" s="10"/>
      <c r="H46" s="7" t="s">
        <v>2391</v>
      </c>
      <c r="I46" s="7" t="s">
        <v>2550</v>
      </c>
      <c r="J46" s="7" t="s">
        <v>2363</v>
      </c>
      <c r="K46" s="7" t="s">
        <v>2385</v>
      </c>
      <c r="L46" s="11" t="str">
        <f>HYPERLINK("http://slimages.macys.com/is/image/MCY/935272 ")</f>
        <v xml:space="preserve">http://slimages.macys.com/is/image/MCY/935272 </v>
      </c>
    </row>
    <row r="47" spans="1:12" ht="39.950000000000003" customHeight="1" x14ac:dyDescent="0.25">
      <c r="A47" s="6" t="s">
        <v>576</v>
      </c>
      <c r="B47" s="7" t="s">
        <v>577</v>
      </c>
      <c r="C47" s="8">
        <v>2</v>
      </c>
      <c r="D47" s="9">
        <v>23.98</v>
      </c>
      <c r="E47" s="8">
        <v>1005082900</v>
      </c>
      <c r="F47" s="7" t="s">
        <v>2424</v>
      </c>
      <c r="G47" s="10" t="s">
        <v>2616</v>
      </c>
      <c r="H47" s="7" t="s">
        <v>2442</v>
      </c>
      <c r="I47" s="7" t="s">
        <v>2411</v>
      </c>
      <c r="J47" s="7" t="s">
        <v>2363</v>
      </c>
      <c r="K47" s="7" t="s">
        <v>2640</v>
      </c>
      <c r="L47" s="11" t="str">
        <f>HYPERLINK("http://slimages.macys.com/is/image/MCY/11709707 ")</f>
        <v xml:space="preserve">http://slimages.macys.com/is/image/MCY/11709707 </v>
      </c>
    </row>
    <row r="48" spans="1:12" ht="39.950000000000003" customHeight="1" x14ac:dyDescent="0.25">
      <c r="A48" s="6" t="s">
        <v>578</v>
      </c>
      <c r="B48" s="7" t="s">
        <v>579</v>
      </c>
      <c r="C48" s="8">
        <v>1</v>
      </c>
      <c r="D48" s="9">
        <v>3.99</v>
      </c>
      <c r="E48" s="8">
        <v>875410</v>
      </c>
      <c r="F48" s="7" t="s">
        <v>2435</v>
      </c>
      <c r="G48" s="10" t="s">
        <v>2469</v>
      </c>
      <c r="H48" s="7" t="s">
        <v>2420</v>
      </c>
      <c r="I48" s="7" t="s">
        <v>580</v>
      </c>
      <c r="J48" s="7" t="s">
        <v>2363</v>
      </c>
      <c r="K48" s="7" t="s">
        <v>2421</v>
      </c>
      <c r="L48" s="11" t="str">
        <f>HYPERLINK("http://slimages.macys.com/is/image/MCY/9554213 ")</f>
        <v xml:space="preserve">http://slimages.macys.com/is/image/MCY/9554213 </v>
      </c>
    </row>
    <row r="49" spans="1:12" ht="39.950000000000003" customHeight="1" x14ac:dyDescent="0.25">
      <c r="A49" s="6" t="s">
        <v>581</v>
      </c>
      <c r="B49" s="7" t="s">
        <v>582</v>
      </c>
      <c r="C49" s="8">
        <v>1</v>
      </c>
      <c r="D49" s="9">
        <v>3.99</v>
      </c>
      <c r="E49" s="8" t="s">
        <v>583</v>
      </c>
      <c r="F49" s="7" t="s">
        <v>2368</v>
      </c>
      <c r="G49" s="10" t="s">
        <v>2463</v>
      </c>
      <c r="H49" s="7" t="s">
        <v>2420</v>
      </c>
      <c r="I49" s="7" t="s">
        <v>2433</v>
      </c>
      <c r="J49" s="7" t="s">
        <v>2363</v>
      </c>
      <c r="K49" s="7" t="s">
        <v>2421</v>
      </c>
      <c r="L49" s="11" t="str">
        <f t="shared" ref="L49:L54" si="0">HYPERLINK("http://slimages.macys.com/is/image/MCY/11926122 ")</f>
        <v xml:space="preserve">http://slimages.macys.com/is/image/MCY/11926122 </v>
      </c>
    </row>
    <row r="50" spans="1:12" ht="39.950000000000003" customHeight="1" x14ac:dyDescent="0.25">
      <c r="A50" s="6" t="s">
        <v>584</v>
      </c>
      <c r="B50" s="7" t="s">
        <v>585</v>
      </c>
      <c r="C50" s="8">
        <v>2</v>
      </c>
      <c r="D50" s="9">
        <v>7.98</v>
      </c>
      <c r="E50" s="8" t="s">
        <v>586</v>
      </c>
      <c r="F50" s="7" t="s">
        <v>2512</v>
      </c>
      <c r="G50" s="10" t="s">
        <v>2463</v>
      </c>
      <c r="H50" s="7" t="s">
        <v>2420</v>
      </c>
      <c r="I50" s="7" t="s">
        <v>2433</v>
      </c>
      <c r="J50" s="7" t="s">
        <v>2363</v>
      </c>
      <c r="K50" s="7" t="s">
        <v>2421</v>
      </c>
      <c r="L50" s="11" t="str">
        <f t="shared" si="0"/>
        <v xml:space="preserve">http://slimages.macys.com/is/image/MCY/11926122 </v>
      </c>
    </row>
    <row r="51" spans="1:12" ht="39.950000000000003" customHeight="1" x14ac:dyDescent="0.25">
      <c r="A51" s="6" t="s">
        <v>587</v>
      </c>
      <c r="B51" s="7" t="s">
        <v>588</v>
      </c>
      <c r="C51" s="8">
        <v>6</v>
      </c>
      <c r="D51" s="9">
        <v>23.94</v>
      </c>
      <c r="E51" s="8" t="s">
        <v>589</v>
      </c>
      <c r="F51" s="7" t="s">
        <v>2417</v>
      </c>
      <c r="G51" s="10" t="s">
        <v>2463</v>
      </c>
      <c r="H51" s="7" t="s">
        <v>2420</v>
      </c>
      <c r="I51" s="7" t="s">
        <v>2433</v>
      </c>
      <c r="J51" s="7" t="s">
        <v>2363</v>
      </c>
      <c r="K51" s="7" t="s">
        <v>2421</v>
      </c>
      <c r="L51" s="11" t="str">
        <f t="shared" si="0"/>
        <v xml:space="preserve">http://slimages.macys.com/is/image/MCY/11926122 </v>
      </c>
    </row>
    <row r="52" spans="1:12" ht="39.950000000000003" customHeight="1" x14ac:dyDescent="0.25">
      <c r="A52" s="6" t="s">
        <v>590</v>
      </c>
      <c r="B52" s="7" t="s">
        <v>591</v>
      </c>
      <c r="C52" s="8">
        <v>2</v>
      </c>
      <c r="D52" s="9">
        <v>7.98</v>
      </c>
      <c r="E52" s="8" t="s">
        <v>592</v>
      </c>
      <c r="F52" s="7" t="s">
        <v>2355</v>
      </c>
      <c r="G52" s="10" t="s">
        <v>2463</v>
      </c>
      <c r="H52" s="7" t="s">
        <v>2420</v>
      </c>
      <c r="I52" s="7" t="s">
        <v>2433</v>
      </c>
      <c r="J52" s="7" t="s">
        <v>2363</v>
      </c>
      <c r="K52" s="7" t="s">
        <v>2421</v>
      </c>
      <c r="L52" s="11" t="str">
        <f t="shared" si="0"/>
        <v xml:space="preserve">http://slimages.macys.com/is/image/MCY/11926122 </v>
      </c>
    </row>
    <row r="53" spans="1:12" ht="39.950000000000003" customHeight="1" x14ac:dyDescent="0.25">
      <c r="A53" s="6" t="s">
        <v>593</v>
      </c>
      <c r="B53" s="7" t="s">
        <v>594</v>
      </c>
      <c r="C53" s="8">
        <v>3</v>
      </c>
      <c r="D53" s="9">
        <v>11.97</v>
      </c>
      <c r="E53" s="8" t="s">
        <v>595</v>
      </c>
      <c r="F53" s="7" t="s">
        <v>2446</v>
      </c>
      <c r="G53" s="10" t="s">
        <v>2463</v>
      </c>
      <c r="H53" s="7" t="s">
        <v>2420</v>
      </c>
      <c r="I53" s="7" t="s">
        <v>2433</v>
      </c>
      <c r="J53" s="7" t="s">
        <v>2363</v>
      </c>
      <c r="K53" s="7" t="s">
        <v>2421</v>
      </c>
      <c r="L53" s="11" t="str">
        <f t="shared" si="0"/>
        <v xml:space="preserve">http://slimages.macys.com/is/image/MCY/11926122 </v>
      </c>
    </row>
    <row r="54" spans="1:12" ht="39.950000000000003" customHeight="1" x14ac:dyDescent="0.25">
      <c r="A54" s="6" t="s">
        <v>596</v>
      </c>
      <c r="B54" s="7" t="s">
        <v>597</v>
      </c>
      <c r="C54" s="8">
        <v>2</v>
      </c>
      <c r="D54" s="9">
        <v>7.98</v>
      </c>
      <c r="E54" s="8" t="s">
        <v>598</v>
      </c>
      <c r="F54" s="7" t="s">
        <v>3009</v>
      </c>
      <c r="G54" s="10" t="s">
        <v>2463</v>
      </c>
      <c r="H54" s="7" t="s">
        <v>2420</v>
      </c>
      <c r="I54" s="7" t="s">
        <v>2433</v>
      </c>
      <c r="J54" s="7" t="s">
        <v>2363</v>
      </c>
      <c r="K54" s="7" t="s">
        <v>2421</v>
      </c>
      <c r="L54" s="11" t="str">
        <f t="shared" si="0"/>
        <v xml:space="preserve">http://slimages.macys.com/is/image/MCY/11926122 </v>
      </c>
    </row>
    <row r="55" spans="1:12" ht="39.950000000000003" customHeight="1" x14ac:dyDescent="0.25">
      <c r="A55" s="6" t="s">
        <v>599</v>
      </c>
      <c r="B55" s="7" t="s">
        <v>600</v>
      </c>
      <c r="C55" s="8">
        <v>1</v>
      </c>
      <c r="D55" s="9">
        <v>2.99</v>
      </c>
      <c r="E55" s="8" t="s">
        <v>601</v>
      </c>
      <c r="F55" s="7" t="s">
        <v>2475</v>
      </c>
      <c r="G55" s="10" t="s">
        <v>2463</v>
      </c>
      <c r="H55" s="7" t="s">
        <v>2420</v>
      </c>
      <c r="I55" s="7" t="s">
        <v>2388</v>
      </c>
      <c r="J55" s="7" t="s">
        <v>2363</v>
      </c>
      <c r="K55" s="7" t="s">
        <v>2405</v>
      </c>
      <c r="L55" s="11" t="str">
        <f>HYPERLINK("http://slimages.macys.com/is/image/MCY/3635139 ")</f>
        <v xml:space="preserve">http://slimages.macys.com/is/image/MCY/3635139 </v>
      </c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56"/>
  <sheetViews>
    <sheetView workbookViewId="0">
      <selection activeCell="B44" sqref="B44"/>
    </sheetView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2350</v>
      </c>
      <c r="I1" s="5" t="s">
        <v>2351</v>
      </c>
      <c r="J1" s="5" t="s">
        <v>2352</v>
      </c>
      <c r="K1" s="5" t="s">
        <v>2353</v>
      </c>
      <c r="L1" s="5" t="s">
        <v>2354</v>
      </c>
    </row>
    <row r="2" spans="1:12" ht="39.950000000000003" customHeight="1" x14ac:dyDescent="0.25">
      <c r="A2" s="6" t="s">
        <v>602</v>
      </c>
      <c r="B2" s="7" t="s">
        <v>603</v>
      </c>
      <c r="C2" s="8">
        <v>1</v>
      </c>
      <c r="D2" s="9">
        <v>244.99</v>
      </c>
      <c r="E2" s="8" t="s">
        <v>604</v>
      </c>
      <c r="F2" s="7" t="s">
        <v>2615</v>
      </c>
      <c r="G2" s="10"/>
      <c r="H2" s="7" t="s">
        <v>2369</v>
      </c>
      <c r="I2" s="7" t="s">
        <v>2409</v>
      </c>
      <c r="J2" s="7" t="s">
        <v>2363</v>
      </c>
      <c r="K2" s="7" t="s">
        <v>605</v>
      </c>
      <c r="L2" s="11" t="str">
        <f>HYPERLINK("http://slimages.macys.com/is/image/MCY/9566733 ")</f>
        <v xml:space="preserve">http://slimages.macys.com/is/image/MCY/9566733 </v>
      </c>
    </row>
    <row r="3" spans="1:12" ht="39.950000000000003" customHeight="1" x14ac:dyDescent="0.25">
      <c r="A3" s="6" t="s">
        <v>606</v>
      </c>
      <c r="B3" s="7" t="s">
        <v>607</v>
      </c>
      <c r="C3" s="8">
        <v>1</v>
      </c>
      <c r="D3" s="9">
        <v>169</v>
      </c>
      <c r="E3" s="8" t="s">
        <v>608</v>
      </c>
      <c r="F3" s="7" t="s">
        <v>2355</v>
      </c>
      <c r="G3" s="10"/>
      <c r="H3" s="7" t="s">
        <v>2432</v>
      </c>
      <c r="I3" s="7" t="s">
        <v>609</v>
      </c>
      <c r="J3" s="7" t="s">
        <v>2880</v>
      </c>
      <c r="K3" s="7" t="s">
        <v>610</v>
      </c>
      <c r="L3" s="11" t="str">
        <f>HYPERLINK("http://images.bloomingdales.com/is/image/BLM/10568803 ")</f>
        <v xml:space="preserve">http://images.bloomingdales.com/is/image/BLM/10568803 </v>
      </c>
    </row>
    <row r="4" spans="1:12" ht="39.950000000000003" customHeight="1" x14ac:dyDescent="0.25">
      <c r="A4" s="6" t="s">
        <v>611</v>
      </c>
      <c r="B4" s="7" t="s">
        <v>612</v>
      </c>
      <c r="C4" s="8">
        <v>1</v>
      </c>
      <c r="D4" s="9">
        <v>179.99</v>
      </c>
      <c r="E4" s="8" t="s">
        <v>613</v>
      </c>
      <c r="F4" s="7" t="s">
        <v>2446</v>
      </c>
      <c r="G4" s="10"/>
      <c r="H4" s="7" t="s">
        <v>2369</v>
      </c>
      <c r="I4" s="7" t="s">
        <v>2409</v>
      </c>
      <c r="J4" s="7" t="s">
        <v>2363</v>
      </c>
      <c r="K4" s="7" t="s">
        <v>614</v>
      </c>
      <c r="L4" s="11" t="str">
        <f>HYPERLINK("http://slimages.macys.com/is/image/MCY/9627785 ")</f>
        <v xml:space="preserve">http://slimages.macys.com/is/image/MCY/9627785 </v>
      </c>
    </row>
    <row r="5" spans="1:12" ht="39.950000000000003" customHeight="1" x14ac:dyDescent="0.25">
      <c r="A5" s="6" t="s">
        <v>615</v>
      </c>
      <c r="B5" s="7" t="s">
        <v>616</v>
      </c>
      <c r="C5" s="8">
        <v>1</v>
      </c>
      <c r="D5" s="9">
        <v>159.99</v>
      </c>
      <c r="E5" s="8" t="s">
        <v>617</v>
      </c>
      <c r="F5" s="7" t="s">
        <v>2368</v>
      </c>
      <c r="G5" s="10"/>
      <c r="H5" s="7" t="s">
        <v>2369</v>
      </c>
      <c r="I5" s="7" t="s">
        <v>2409</v>
      </c>
      <c r="J5" s="7" t="s">
        <v>2363</v>
      </c>
      <c r="K5" s="7" t="s">
        <v>618</v>
      </c>
      <c r="L5" s="11" t="str">
        <f>HYPERLINK("http://slimages.macys.com/is/image/MCY/11112584 ")</f>
        <v xml:space="preserve">http://slimages.macys.com/is/image/MCY/11112584 </v>
      </c>
    </row>
    <row r="6" spans="1:12" ht="39.950000000000003" customHeight="1" x14ac:dyDescent="0.25">
      <c r="A6" s="6" t="s">
        <v>619</v>
      </c>
      <c r="B6" s="7" t="s">
        <v>620</v>
      </c>
      <c r="C6" s="8">
        <v>1</v>
      </c>
      <c r="D6" s="9">
        <v>139.99</v>
      </c>
      <c r="E6" s="8" t="s">
        <v>621</v>
      </c>
      <c r="F6" s="7" t="s">
        <v>2368</v>
      </c>
      <c r="G6" s="10"/>
      <c r="H6" s="7" t="s">
        <v>2432</v>
      </c>
      <c r="I6" s="7" t="s">
        <v>2453</v>
      </c>
      <c r="J6" s="7" t="s">
        <v>2363</v>
      </c>
      <c r="K6" s="7" t="s">
        <v>622</v>
      </c>
      <c r="L6" s="11" t="str">
        <f>HYPERLINK("http://slimages.macys.com/is/image/MCY/16330348 ")</f>
        <v xml:space="preserve">http://slimages.macys.com/is/image/MCY/16330348 </v>
      </c>
    </row>
    <row r="7" spans="1:12" ht="39.950000000000003" customHeight="1" x14ac:dyDescent="0.25">
      <c r="A7" s="6" t="s">
        <v>623</v>
      </c>
      <c r="B7" s="7" t="s">
        <v>624</v>
      </c>
      <c r="C7" s="8">
        <v>1</v>
      </c>
      <c r="D7" s="9">
        <v>139.99</v>
      </c>
      <c r="E7" s="8" t="s">
        <v>625</v>
      </c>
      <c r="F7" s="7" t="s">
        <v>2368</v>
      </c>
      <c r="G7" s="10"/>
      <c r="H7" s="7" t="s">
        <v>2369</v>
      </c>
      <c r="I7" s="7" t="s">
        <v>2409</v>
      </c>
      <c r="J7" s="7" t="s">
        <v>2363</v>
      </c>
      <c r="K7" s="7" t="s">
        <v>626</v>
      </c>
      <c r="L7" s="11" t="str">
        <f>HYPERLINK("http://slimages.macys.com/is/image/MCY/9627809 ")</f>
        <v xml:space="preserve">http://slimages.macys.com/is/image/MCY/9627809 </v>
      </c>
    </row>
    <row r="8" spans="1:12" ht="39.950000000000003" customHeight="1" x14ac:dyDescent="0.25">
      <c r="A8" s="6" t="s">
        <v>627</v>
      </c>
      <c r="B8" s="7" t="s">
        <v>628</v>
      </c>
      <c r="C8" s="8">
        <v>1</v>
      </c>
      <c r="D8" s="9">
        <v>105.99</v>
      </c>
      <c r="E8" s="8" t="s">
        <v>629</v>
      </c>
      <c r="F8" s="7" t="s">
        <v>2495</v>
      </c>
      <c r="G8" s="10"/>
      <c r="H8" s="7" t="s">
        <v>2369</v>
      </c>
      <c r="I8" s="7" t="s">
        <v>2409</v>
      </c>
      <c r="J8" s="7" t="s">
        <v>2363</v>
      </c>
      <c r="K8" s="7" t="s">
        <v>2513</v>
      </c>
      <c r="L8" s="11" t="str">
        <f>HYPERLINK("http://slimages.macys.com/is/image/MCY/9767711 ")</f>
        <v xml:space="preserve">http://slimages.macys.com/is/image/MCY/9767711 </v>
      </c>
    </row>
    <row r="9" spans="1:12" ht="39.950000000000003" customHeight="1" x14ac:dyDescent="0.25">
      <c r="A9" s="6" t="s">
        <v>630</v>
      </c>
      <c r="B9" s="7" t="s">
        <v>631</v>
      </c>
      <c r="C9" s="8">
        <v>1</v>
      </c>
      <c r="D9" s="9">
        <v>129.99</v>
      </c>
      <c r="E9" s="8" t="s">
        <v>632</v>
      </c>
      <c r="F9" s="7" t="s">
        <v>2399</v>
      </c>
      <c r="G9" s="10"/>
      <c r="H9" s="7" t="s">
        <v>2729</v>
      </c>
      <c r="I9" s="7" t="s">
        <v>2730</v>
      </c>
      <c r="J9" s="7"/>
      <c r="K9" s="7"/>
      <c r="L9" s="11" t="str">
        <f>HYPERLINK("http://slimages.macys.com/is/image/MCY/16989977 ")</f>
        <v xml:space="preserve">http://slimages.macys.com/is/image/MCY/16989977 </v>
      </c>
    </row>
    <row r="10" spans="1:12" ht="39.950000000000003" customHeight="1" x14ac:dyDescent="0.25">
      <c r="A10" s="6" t="s">
        <v>633</v>
      </c>
      <c r="B10" s="7" t="s">
        <v>634</v>
      </c>
      <c r="C10" s="8">
        <v>1</v>
      </c>
      <c r="D10" s="9">
        <v>84.99</v>
      </c>
      <c r="E10" s="8" t="s">
        <v>635</v>
      </c>
      <c r="F10" s="7" t="s">
        <v>2472</v>
      </c>
      <c r="G10" s="10"/>
      <c r="H10" s="7" t="s">
        <v>2535</v>
      </c>
      <c r="I10" s="7" t="s">
        <v>2999</v>
      </c>
      <c r="J10" s="7" t="s">
        <v>2363</v>
      </c>
      <c r="K10" s="7" t="s">
        <v>2385</v>
      </c>
      <c r="L10" s="11" t="str">
        <f>HYPERLINK("http://slimages.macys.com/is/image/MCY/10521407 ")</f>
        <v xml:space="preserve">http://slimages.macys.com/is/image/MCY/10521407 </v>
      </c>
    </row>
    <row r="11" spans="1:12" ht="39.950000000000003" customHeight="1" x14ac:dyDescent="0.25">
      <c r="A11" s="6" t="s">
        <v>636</v>
      </c>
      <c r="B11" s="7" t="s">
        <v>637</v>
      </c>
      <c r="C11" s="8">
        <v>1</v>
      </c>
      <c r="D11" s="9">
        <v>77.989999999999995</v>
      </c>
      <c r="E11" s="8" t="s">
        <v>638</v>
      </c>
      <c r="F11" s="7" t="s">
        <v>2386</v>
      </c>
      <c r="G11" s="10"/>
      <c r="H11" s="7" t="s">
        <v>2369</v>
      </c>
      <c r="I11" s="7" t="s">
        <v>2661</v>
      </c>
      <c r="J11" s="7" t="s">
        <v>2363</v>
      </c>
      <c r="K11" s="7" t="s">
        <v>2402</v>
      </c>
      <c r="L11" s="11" t="str">
        <f>HYPERLINK("http://slimages.macys.com/is/image/MCY/14540049 ")</f>
        <v xml:space="preserve">http://slimages.macys.com/is/image/MCY/14540049 </v>
      </c>
    </row>
    <row r="12" spans="1:12" ht="39.950000000000003" customHeight="1" x14ac:dyDescent="0.25">
      <c r="A12" s="6" t="s">
        <v>639</v>
      </c>
      <c r="B12" s="7" t="s">
        <v>640</v>
      </c>
      <c r="C12" s="8">
        <v>1</v>
      </c>
      <c r="D12" s="9">
        <v>80</v>
      </c>
      <c r="E12" s="8" t="s">
        <v>641</v>
      </c>
      <c r="F12" s="7" t="s">
        <v>2355</v>
      </c>
      <c r="G12" s="10" t="s">
        <v>2595</v>
      </c>
      <c r="H12" s="7" t="s">
        <v>2432</v>
      </c>
      <c r="I12" s="7" t="s">
        <v>609</v>
      </c>
      <c r="J12" s="7" t="s">
        <v>2880</v>
      </c>
      <c r="K12" s="7" t="s">
        <v>610</v>
      </c>
      <c r="L12" s="11" t="str">
        <f>HYPERLINK("http://images.bloomingdales.com/is/image/BLM/10569473 ")</f>
        <v xml:space="preserve">http://images.bloomingdales.com/is/image/BLM/10569473 </v>
      </c>
    </row>
    <row r="13" spans="1:12" ht="39.950000000000003" customHeight="1" x14ac:dyDescent="0.25">
      <c r="A13" s="6" t="s">
        <v>642</v>
      </c>
      <c r="B13" s="7" t="s">
        <v>643</v>
      </c>
      <c r="C13" s="8">
        <v>1</v>
      </c>
      <c r="D13" s="9">
        <v>88.99</v>
      </c>
      <c r="E13" s="8" t="s">
        <v>644</v>
      </c>
      <c r="F13" s="7" t="s">
        <v>2368</v>
      </c>
      <c r="G13" s="10"/>
      <c r="H13" s="7" t="s">
        <v>2369</v>
      </c>
      <c r="I13" s="7" t="s">
        <v>2409</v>
      </c>
      <c r="J13" s="7" t="s">
        <v>2363</v>
      </c>
      <c r="K13" s="7" t="s">
        <v>2385</v>
      </c>
      <c r="L13" s="11" t="str">
        <f>HYPERLINK("http://slimages.macys.com/is/image/MCY/16419066 ")</f>
        <v xml:space="preserve">http://slimages.macys.com/is/image/MCY/16419066 </v>
      </c>
    </row>
    <row r="14" spans="1:12" ht="39.950000000000003" customHeight="1" x14ac:dyDescent="0.25">
      <c r="A14" s="6" t="s">
        <v>645</v>
      </c>
      <c r="B14" s="7" t="s">
        <v>646</v>
      </c>
      <c r="C14" s="8">
        <v>1</v>
      </c>
      <c r="D14" s="9">
        <v>55.99</v>
      </c>
      <c r="E14" s="8" t="s">
        <v>647</v>
      </c>
      <c r="F14" s="7" t="s">
        <v>2446</v>
      </c>
      <c r="G14" s="10"/>
      <c r="H14" s="7" t="s">
        <v>2391</v>
      </c>
      <c r="I14" s="7" t="s">
        <v>2409</v>
      </c>
      <c r="J14" s="7" t="s">
        <v>2363</v>
      </c>
      <c r="K14" s="7" t="s">
        <v>2385</v>
      </c>
      <c r="L14" s="11" t="str">
        <f>HYPERLINK("http://slimages.macys.com/is/image/MCY/9775066 ")</f>
        <v xml:space="preserve">http://slimages.macys.com/is/image/MCY/9775066 </v>
      </c>
    </row>
    <row r="15" spans="1:12" ht="39.950000000000003" customHeight="1" x14ac:dyDescent="0.25">
      <c r="A15" s="6" t="s">
        <v>648</v>
      </c>
      <c r="B15" s="7" t="s">
        <v>649</v>
      </c>
      <c r="C15" s="8">
        <v>1</v>
      </c>
      <c r="D15" s="9">
        <v>119.99</v>
      </c>
      <c r="E15" s="8" t="s">
        <v>650</v>
      </c>
      <c r="F15" s="7" t="s">
        <v>2355</v>
      </c>
      <c r="G15" s="10"/>
      <c r="H15" s="7" t="s">
        <v>2357</v>
      </c>
      <c r="I15" s="7" t="s">
        <v>2876</v>
      </c>
      <c r="J15" s="7" t="s">
        <v>2740</v>
      </c>
      <c r="K15" s="7" t="s">
        <v>651</v>
      </c>
      <c r="L15" s="11" t="str">
        <f>HYPERLINK("http://images.bloomingdales.com/is/image/BLM/10737643 ")</f>
        <v xml:space="preserve">http://images.bloomingdales.com/is/image/BLM/10737643 </v>
      </c>
    </row>
    <row r="16" spans="1:12" ht="39.950000000000003" customHeight="1" x14ac:dyDescent="0.25">
      <c r="A16" s="6" t="s">
        <v>652</v>
      </c>
      <c r="B16" s="7" t="s">
        <v>653</v>
      </c>
      <c r="C16" s="8">
        <v>1</v>
      </c>
      <c r="D16" s="9">
        <v>49.99</v>
      </c>
      <c r="E16" s="8" t="s">
        <v>654</v>
      </c>
      <c r="F16" s="7" t="s">
        <v>2514</v>
      </c>
      <c r="G16" s="10"/>
      <c r="H16" s="7" t="s">
        <v>2391</v>
      </c>
      <c r="I16" s="7" t="s">
        <v>2409</v>
      </c>
      <c r="J16" s="7" t="s">
        <v>2363</v>
      </c>
      <c r="K16" s="7"/>
      <c r="L16" s="11" t="str">
        <f>HYPERLINK("http://slimages.macys.com/is/image/MCY/8958381 ")</f>
        <v xml:space="preserve">http://slimages.macys.com/is/image/MCY/8958381 </v>
      </c>
    </row>
    <row r="17" spans="1:12" ht="39.950000000000003" customHeight="1" x14ac:dyDescent="0.25">
      <c r="A17" s="6" t="s">
        <v>655</v>
      </c>
      <c r="B17" s="7" t="s">
        <v>656</v>
      </c>
      <c r="C17" s="8">
        <v>1</v>
      </c>
      <c r="D17" s="9">
        <v>39.99</v>
      </c>
      <c r="E17" s="8">
        <v>170327246</v>
      </c>
      <c r="F17" s="7" t="s">
        <v>2457</v>
      </c>
      <c r="G17" s="10"/>
      <c r="H17" s="7" t="s">
        <v>2391</v>
      </c>
      <c r="I17" s="7" t="s">
        <v>657</v>
      </c>
      <c r="J17" s="7" t="s">
        <v>2363</v>
      </c>
      <c r="K17" s="7" t="s">
        <v>2385</v>
      </c>
      <c r="L17" s="11" t="str">
        <f>HYPERLINK("http://slimages.macys.com/is/image/MCY/3465245 ")</f>
        <v xml:space="preserve">http://slimages.macys.com/is/image/MCY/3465245 </v>
      </c>
    </row>
    <row r="18" spans="1:12" ht="39.950000000000003" customHeight="1" x14ac:dyDescent="0.25">
      <c r="A18" s="6" t="s">
        <v>658</v>
      </c>
      <c r="B18" s="7" t="s">
        <v>659</v>
      </c>
      <c r="C18" s="8">
        <v>1</v>
      </c>
      <c r="D18" s="9">
        <v>62.99</v>
      </c>
      <c r="E18" s="8" t="s">
        <v>660</v>
      </c>
      <c r="F18" s="7"/>
      <c r="G18" s="10"/>
      <c r="H18" s="7" t="s">
        <v>2369</v>
      </c>
      <c r="I18" s="7" t="s">
        <v>2556</v>
      </c>
      <c r="J18" s="7" t="s">
        <v>2363</v>
      </c>
      <c r="K18" s="7" t="s">
        <v>2371</v>
      </c>
      <c r="L18" s="11" t="str">
        <f>HYPERLINK("http://slimages.macys.com/is/image/MCY/12142371 ")</f>
        <v xml:space="preserve">http://slimages.macys.com/is/image/MCY/12142371 </v>
      </c>
    </row>
    <row r="19" spans="1:12" ht="39.950000000000003" customHeight="1" x14ac:dyDescent="0.25">
      <c r="A19" s="6" t="s">
        <v>661</v>
      </c>
      <c r="B19" s="7" t="s">
        <v>662</v>
      </c>
      <c r="C19" s="8">
        <v>1</v>
      </c>
      <c r="D19" s="9">
        <v>55.99</v>
      </c>
      <c r="E19" s="8">
        <v>19670503</v>
      </c>
      <c r="F19" s="7" t="s">
        <v>2381</v>
      </c>
      <c r="G19" s="10"/>
      <c r="H19" s="7" t="s">
        <v>2387</v>
      </c>
      <c r="I19" s="7" t="s">
        <v>2370</v>
      </c>
      <c r="J19" s="7" t="s">
        <v>2496</v>
      </c>
      <c r="K19" s="7" t="s">
        <v>663</v>
      </c>
      <c r="L19" s="11" t="str">
        <f>HYPERLINK("http://slimages.macys.com/is/image/MCY/10520052 ")</f>
        <v xml:space="preserve">http://slimages.macys.com/is/image/MCY/10520052 </v>
      </c>
    </row>
    <row r="20" spans="1:12" ht="39.950000000000003" customHeight="1" x14ac:dyDescent="0.25">
      <c r="A20" s="6" t="s">
        <v>664</v>
      </c>
      <c r="B20" s="7" t="s">
        <v>607</v>
      </c>
      <c r="C20" s="8">
        <v>1</v>
      </c>
      <c r="D20" s="9">
        <v>60</v>
      </c>
      <c r="E20" s="8" t="s">
        <v>665</v>
      </c>
      <c r="F20" s="7" t="s">
        <v>2368</v>
      </c>
      <c r="G20" s="10"/>
      <c r="H20" s="7" t="s">
        <v>2432</v>
      </c>
      <c r="I20" s="7" t="s">
        <v>609</v>
      </c>
      <c r="J20" s="7" t="s">
        <v>2880</v>
      </c>
      <c r="K20" s="7" t="s">
        <v>666</v>
      </c>
      <c r="L20" s="11" t="str">
        <f>HYPERLINK("http://images.bloomingdales.com/is/image/BLM/10568899 ")</f>
        <v xml:space="preserve">http://images.bloomingdales.com/is/image/BLM/10568899 </v>
      </c>
    </row>
    <row r="21" spans="1:12" ht="39.950000000000003" customHeight="1" x14ac:dyDescent="0.25">
      <c r="A21" s="6" t="s">
        <v>667</v>
      </c>
      <c r="B21" s="7" t="s">
        <v>607</v>
      </c>
      <c r="C21" s="8">
        <v>1</v>
      </c>
      <c r="D21" s="9">
        <v>60</v>
      </c>
      <c r="E21" s="8" t="s">
        <v>668</v>
      </c>
      <c r="F21" s="7" t="s">
        <v>2355</v>
      </c>
      <c r="G21" s="10"/>
      <c r="H21" s="7" t="s">
        <v>2432</v>
      </c>
      <c r="I21" s="7" t="s">
        <v>609</v>
      </c>
      <c r="J21" s="7" t="s">
        <v>2880</v>
      </c>
      <c r="K21" s="7" t="s">
        <v>666</v>
      </c>
      <c r="L21" s="11" t="str">
        <f>HYPERLINK("http://images.bloomingdales.com/is/image/BLM/10568899 ")</f>
        <v xml:space="preserve">http://images.bloomingdales.com/is/image/BLM/10568899 </v>
      </c>
    </row>
    <row r="22" spans="1:12" ht="39.950000000000003" customHeight="1" x14ac:dyDescent="0.25">
      <c r="A22" s="6" t="s">
        <v>669</v>
      </c>
      <c r="B22" s="7" t="s">
        <v>670</v>
      </c>
      <c r="C22" s="8">
        <v>1</v>
      </c>
      <c r="D22" s="9">
        <v>89.99</v>
      </c>
      <c r="E22" s="8" t="s">
        <v>671</v>
      </c>
      <c r="F22" s="7" t="s">
        <v>2355</v>
      </c>
      <c r="G22" s="10"/>
      <c r="H22" s="7" t="s">
        <v>2357</v>
      </c>
      <c r="I22" s="7" t="s">
        <v>2593</v>
      </c>
      <c r="J22" s="7" t="s">
        <v>2363</v>
      </c>
      <c r="K22" s="7"/>
      <c r="L22" s="11" t="str">
        <f>HYPERLINK("http://slimages.macys.com/is/image/MCY/8626882 ")</f>
        <v xml:space="preserve">http://slimages.macys.com/is/image/MCY/8626882 </v>
      </c>
    </row>
    <row r="23" spans="1:12" ht="39.950000000000003" customHeight="1" x14ac:dyDescent="0.25">
      <c r="A23" s="6" t="s">
        <v>672</v>
      </c>
      <c r="B23" s="7" t="s">
        <v>673</v>
      </c>
      <c r="C23" s="8">
        <v>1</v>
      </c>
      <c r="D23" s="9">
        <v>34.99</v>
      </c>
      <c r="E23" s="8" t="s">
        <v>674</v>
      </c>
      <c r="F23" s="7" t="s">
        <v>2446</v>
      </c>
      <c r="G23" s="10" t="s">
        <v>2426</v>
      </c>
      <c r="H23" s="7" t="s">
        <v>2391</v>
      </c>
      <c r="I23" s="7" t="s">
        <v>2409</v>
      </c>
      <c r="J23" s="7" t="s">
        <v>2363</v>
      </c>
      <c r="K23" s="7" t="s">
        <v>521</v>
      </c>
      <c r="L23" s="11" t="str">
        <f>HYPERLINK("http://slimages.macys.com/is/image/MCY/9612551 ")</f>
        <v xml:space="preserve">http://slimages.macys.com/is/image/MCY/9612551 </v>
      </c>
    </row>
    <row r="24" spans="1:12" ht="39.950000000000003" customHeight="1" x14ac:dyDescent="0.25">
      <c r="A24" s="6" t="s">
        <v>675</v>
      </c>
      <c r="B24" s="7" t="s">
        <v>676</v>
      </c>
      <c r="C24" s="8">
        <v>1</v>
      </c>
      <c r="D24" s="9">
        <v>49.99</v>
      </c>
      <c r="E24" s="8" t="s">
        <v>677</v>
      </c>
      <c r="F24" s="7" t="s">
        <v>2534</v>
      </c>
      <c r="G24" s="10"/>
      <c r="H24" s="7" t="s">
        <v>2729</v>
      </c>
      <c r="I24" s="7" t="s">
        <v>2730</v>
      </c>
      <c r="J24" s="7"/>
      <c r="K24" s="7"/>
      <c r="L24" s="11" t="str">
        <f>HYPERLINK("http://slimages.macys.com/is/image/MCY/16973105 ")</f>
        <v xml:space="preserve">http://slimages.macys.com/is/image/MCY/16973105 </v>
      </c>
    </row>
    <row r="25" spans="1:12" ht="39.950000000000003" customHeight="1" x14ac:dyDescent="0.25">
      <c r="A25" s="6" t="s">
        <v>678</v>
      </c>
      <c r="B25" s="7" t="s">
        <v>679</v>
      </c>
      <c r="C25" s="8">
        <v>1</v>
      </c>
      <c r="D25" s="9">
        <v>33.99</v>
      </c>
      <c r="E25" s="8" t="s">
        <v>680</v>
      </c>
      <c r="F25" s="7" t="s">
        <v>2454</v>
      </c>
      <c r="G25" s="10"/>
      <c r="H25" s="7" t="s">
        <v>2391</v>
      </c>
      <c r="I25" s="7" t="s">
        <v>2409</v>
      </c>
      <c r="J25" s="7" t="s">
        <v>2363</v>
      </c>
      <c r="K25" s="7" t="s">
        <v>2513</v>
      </c>
      <c r="L25" s="11" t="str">
        <f>HYPERLINK("http://slimages.macys.com/is/image/MCY/9615186 ")</f>
        <v xml:space="preserve">http://slimages.macys.com/is/image/MCY/9615186 </v>
      </c>
    </row>
    <row r="26" spans="1:12" ht="39.950000000000003" customHeight="1" x14ac:dyDescent="0.25">
      <c r="A26" s="6" t="s">
        <v>681</v>
      </c>
      <c r="B26" s="7" t="s">
        <v>682</v>
      </c>
      <c r="C26" s="8">
        <v>1</v>
      </c>
      <c r="D26" s="9">
        <v>39.99</v>
      </c>
      <c r="E26" s="8" t="s">
        <v>683</v>
      </c>
      <c r="F26" s="7" t="s">
        <v>2495</v>
      </c>
      <c r="G26" s="10"/>
      <c r="H26" s="7" t="s">
        <v>2432</v>
      </c>
      <c r="I26" s="7" t="s">
        <v>2502</v>
      </c>
      <c r="J26" s="7" t="s">
        <v>2363</v>
      </c>
      <c r="K26" s="7" t="s">
        <v>2389</v>
      </c>
      <c r="L26" s="11" t="str">
        <f>HYPERLINK("http://slimages.macys.com/is/image/MCY/15730392 ")</f>
        <v xml:space="preserve">http://slimages.macys.com/is/image/MCY/15730392 </v>
      </c>
    </row>
    <row r="27" spans="1:12" ht="39.950000000000003" customHeight="1" x14ac:dyDescent="0.25">
      <c r="A27" s="6" t="s">
        <v>684</v>
      </c>
      <c r="B27" s="7" t="s">
        <v>685</v>
      </c>
      <c r="C27" s="8">
        <v>1</v>
      </c>
      <c r="D27" s="9">
        <v>29.99</v>
      </c>
      <c r="E27" s="8" t="s">
        <v>686</v>
      </c>
      <c r="F27" s="7" t="s">
        <v>2417</v>
      </c>
      <c r="G27" s="10" t="s">
        <v>2426</v>
      </c>
      <c r="H27" s="7" t="s">
        <v>2391</v>
      </c>
      <c r="I27" s="7" t="s">
        <v>2409</v>
      </c>
      <c r="J27" s="7" t="s">
        <v>2363</v>
      </c>
      <c r="K27" s="7" t="s">
        <v>1506</v>
      </c>
      <c r="L27" s="11" t="str">
        <f>HYPERLINK("http://slimages.macys.com/is/image/MCY/8064927 ")</f>
        <v xml:space="preserve">http://slimages.macys.com/is/image/MCY/8064927 </v>
      </c>
    </row>
    <row r="28" spans="1:12" ht="39.950000000000003" customHeight="1" x14ac:dyDescent="0.25">
      <c r="A28" s="6" t="s">
        <v>3281</v>
      </c>
      <c r="B28" s="7" t="s">
        <v>3282</v>
      </c>
      <c r="C28" s="8">
        <v>1</v>
      </c>
      <c r="D28" s="9">
        <v>30.99</v>
      </c>
      <c r="E28" s="8" t="s">
        <v>3283</v>
      </c>
      <c r="F28" s="7" t="s">
        <v>2355</v>
      </c>
      <c r="G28" s="10"/>
      <c r="H28" s="7" t="s">
        <v>2391</v>
      </c>
      <c r="I28" s="7" t="s">
        <v>2409</v>
      </c>
      <c r="J28" s="7" t="s">
        <v>2363</v>
      </c>
      <c r="K28" s="7"/>
      <c r="L28" s="11" t="str">
        <f>HYPERLINK("http://slimages.macys.com/is/image/MCY/10010883 ")</f>
        <v xml:space="preserve">http://slimages.macys.com/is/image/MCY/10010883 </v>
      </c>
    </row>
    <row r="29" spans="1:12" ht="39.950000000000003" customHeight="1" x14ac:dyDescent="0.25">
      <c r="A29" s="6" t="s">
        <v>687</v>
      </c>
      <c r="B29" s="7" t="s">
        <v>688</v>
      </c>
      <c r="C29" s="8">
        <v>3</v>
      </c>
      <c r="D29" s="9">
        <v>239.97</v>
      </c>
      <c r="E29" s="8" t="s">
        <v>689</v>
      </c>
      <c r="F29" s="7" t="s">
        <v>2355</v>
      </c>
      <c r="G29" s="10"/>
      <c r="H29" s="7" t="s">
        <v>2357</v>
      </c>
      <c r="I29" s="7" t="s">
        <v>2876</v>
      </c>
      <c r="J29" s="7" t="s">
        <v>2880</v>
      </c>
      <c r="K29" s="7" t="s">
        <v>690</v>
      </c>
      <c r="L29" s="11" t="str">
        <f>HYPERLINK("http://images.bloomingdales.com/is/image/BLM/10485691 ")</f>
        <v xml:space="preserve">http://images.bloomingdales.com/is/image/BLM/10485691 </v>
      </c>
    </row>
    <row r="30" spans="1:12" ht="39.950000000000003" customHeight="1" x14ac:dyDescent="0.25">
      <c r="A30" s="6" t="s">
        <v>691</v>
      </c>
      <c r="B30" s="7" t="s">
        <v>692</v>
      </c>
      <c r="C30" s="8">
        <v>3</v>
      </c>
      <c r="D30" s="9">
        <v>239.97</v>
      </c>
      <c r="E30" s="8" t="s">
        <v>693</v>
      </c>
      <c r="F30" s="7" t="s">
        <v>2355</v>
      </c>
      <c r="G30" s="10"/>
      <c r="H30" s="7" t="s">
        <v>2357</v>
      </c>
      <c r="I30" s="7" t="s">
        <v>2876</v>
      </c>
      <c r="J30" s="7" t="s">
        <v>2880</v>
      </c>
      <c r="K30" s="7" t="s">
        <v>2405</v>
      </c>
      <c r="L30" s="11" t="str">
        <f>HYPERLINK("http://images.bloomingdales.com/is/image/BLM/10177502 ")</f>
        <v xml:space="preserve">http://images.bloomingdales.com/is/image/BLM/10177502 </v>
      </c>
    </row>
    <row r="31" spans="1:12" ht="39.950000000000003" customHeight="1" x14ac:dyDescent="0.25">
      <c r="A31" s="6" t="s">
        <v>694</v>
      </c>
      <c r="B31" s="7" t="s">
        <v>695</v>
      </c>
      <c r="C31" s="8">
        <v>1</v>
      </c>
      <c r="D31" s="9">
        <v>26.99</v>
      </c>
      <c r="E31" s="8" t="s">
        <v>696</v>
      </c>
      <c r="F31" s="7" t="s">
        <v>2379</v>
      </c>
      <c r="G31" s="10" t="s">
        <v>2426</v>
      </c>
      <c r="H31" s="7" t="s">
        <v>2391</v>
      </c>
      <c r="I31" s="7" t="s">
        <v>2409</v>
      </c>
      <c r="J31" s="7" t="s">
        <v>2363</v>
      </c>
      <c r="K31" s="7" t="s">
        <v>2727</v>
      </c>
      <c r="L31" s="11" t="str">
        <f>HYPERLINK("http://slimages.macys.com/is/image/MCY/9613901 ")</f>
        <v xml:space="preserve">http://slimages.macys.com/is/image/MCY/9613901 </v>
      </c>
    </row>
    <row r="32" spans="1:12" ht="39.950000000000003" customHeight="1" x14ac:dyDescent="0.25">
      <c r="A32" s="6" t="s">
        <v>697</v>
      </c>
      <c r="B32" s="7" t="s">
        <v>698</v>
      </c>
      <c r="C32" s="8">
        <v>1</v>
      </c>
      <c r="D32" s="9">
        <v>28.99</v>
      </c>
      <c r="E32" s="8">
        <v>17790</v>
      </c>
      <c r="F32" s="7" t="s">
        <v>2381</v>
      </c>
      <c r="G32" s="10" t="s">
        <v>2469</v>
      </c>
      <c r="H32" s="7" t="s">
        <v>2391</v>
      </c>
      <c r="I32" s="7" t="s">
        <v>2515</v>
      </c>
      <c r="J32" s="7" t="s">
        <v>2363</v>
      </c>
      <c r="K32" s="7" t="s">
        <v>2385</v>
      </c>
      <c r="L32" s="11" t="str">
        <f>HYPERLINK("http://slimages.macys.com/is/image/MCY/9316073 ")</f>
        <v xml:space="preserve">http://slimages.macys.com/is/image/MCY/9316073 </v>
      </c>
    </row>
    <row r="33" spans="1:12" ht="39.950000000000003" customHeight="1" x14ac:dyDescent="0.25">
      <c r="A33" s="6" t="s">
        <v>699</v>
      </c>
      <c r="B33" s="7" t="s">
        <v>700</v>
      </c>
      <c r="C33" s="8">
        <v>1</v>
      </c>
      <c r="D33" s="9">
        <v>34.99</v>
      </c>
      <c r="E33" s="8" t="s">
        <v>701</v>
      </c>
      <c r="F33" s="7" t="s">
        <v>2386</v>
      </c>
      <c r="G33" s="10"/>
      <c r="H33" s="7" t="s">
        <v>2535</v>
      </c>
      <c r="I33" s="7" t="s">
        <v>2999</v>
      </c>
      <c r="J33" s="7" t="s">
        <v>2363</v>
      </c>
      <c r="K33" s="7" t="s">
        <v>2385</v>
      </c>
      <c r="L33" s="11" t="str">
        <f>HYPERLINK("http://slimages.macys.com/is/image/MCY/9178734 ")</f>
        <v xml:space="preserve">http://slimages.macys.com/is/image/MCY/9178734 </v>
      </c>
    </row>
    <row r="34" spans="1:12" ht="39.950000000000003" customHeight="1" x14ac:dyDescent="0.25">
      <c r="A34" s="6" t="s">
        <v>702</v>
      </c>
      <c r="B34" s="7" t="s">
        <v>703</v>
      </c>
      <c r="C34" s="8">
        <v>2</v>
      </c>
      <c r="D34" s="9">
        <v>89.98</v>
      </c>
      <c r="E34" s="8" t="s">
        <v>704</v>
      </c>
      <c r="F34" s="7" t="s">
        <v>2355</v>
      </c>
      <c r="G34" s="10" t="s">
        <v>2519</v>
      </c>
      <c r="H34" s="7" t="s">
        <v>2407</v>
      </c>
      <c r="I34" s="7" t="s">
        <v>2620</v>
      </c>
      <c r="J34" s="7" t="s">
        <v>2363</v>
      </c>
      <c r="K34" s="7" t="s">
        <v>2371</v>
      </c>
      <c r="L34" s="11" t="str">
        <f>HYPERLINK("http://slimages.macys.com/is/image/MCY/11798703 ")</f>
        <v xml:space="preserve">http://slimages.macys.com/is/image/MCY/11798703 </v>
      </c>
    </row>
    <row r="35" spans="1:12" ht="39.950000000000003" customHeight="1" x14ac:dyDescent="0.25">
      <c r="A35" s="6" t="s">
        <v>705</v>
      </c>
      <c r="B35" s="7" t="s">
        <v>706</v>
      </c>
      <c r="C35" s="8">
        <v>4</v>
      </c>
      <c r="D35" s="9">
        <v>119.96</v>
      </c>
      <c r="E35" s="8" t="s">
        <v>707</v>
      </c>
      <c r="F35" s="7" t="s">
        <v>2495</v>
      </c>
      <c r="G35" s="10"/>
      <c r="H35" s="7" t="s">
        <v>2391</v>
      </c>
      <c r="I35" s="7" t="s">
        <v>2409</v>
      </c>
      <c r="J35" s="7" t="s">
        <v>2363</v>
      </c>
      <c r="K35" s="7" t="s">
        <v>2385</v>
      </c>
      <c r="L35" s="11" t="str">
        <f>HYPERLINK("http://slimages.macys.com/is/image/MCY/8152741 ")</f>
        <v xml:space="preserve">http://slimages.macys.com/is/image/MCY/8152741 </v>
      </c>
    </row>
    <row r="36" spans="1:12" ht="39.950000000000003" customHeight="1" x14ac:dyDescent="0.25">
      <c r="A36" s="6" t="s">
        <v>708</v>
      </c>
      <c r="B36" s="7" t="s">
        <v>709</v>
      </c>
      <c r="C36" s="8">
        <v>1</v>
      </c>
      <c r="D36" s="9">
        <v>27.99</v>
      </c>
      <c r="E36" s="8" t="s">
        <v>710</v>
      </c>
      <c r="F36" s="7" t="s">
        <v>2446</v>
      </c>
      <c r="G36" s="10"/>
      <c r="H36" s="7" t="s">
        <v>2391</v>
      </c>
      <c r="I36" s="7" t="s">
        <v>2550</v>
      </c>
      <c r="J36" s="7" t="s">
        <v>2363</v>
      </c>
      <c r="K36" s="7" t="s">
        <v>2385</v>
      </c>
      <c r="L36" s="11" t="str">
        <f>HYPERLINK("http://slimages.macys.com/is/image/MCY/2075000 ")</f>
        <v xml:space="preserve">http://slimages.macys.com/is/image/MCY/2075000 </v>
      </c>
    </row>
    <row r="37" spans="1:12" ht="39.950000000000003" customHeight="1" x14ac:dyDescent="0.25">
      <c r="A37" s="6" t="s">
        <v>1660</v>
      </c>
      <c r="B37" s="7" t="s">
        <v>1661</v>
      </c>
      <c r="C37" s="8">
        <v>2</v>
      </c>
      <c r="D37" s="9">
        <v>63.98</v>
      </c>
      <c r="E37" s="8">
        <v>64100</v>
      </c>
      <c r="F37" s="7" t="s">
        <v>2355</v>
      </c>
      <c r="G37" s="10" t="s">
        <v>2539</v>
      </c>
      <c r="H37" s="7" t="s">
        <v>2407</v>
      </c>
      <c r="I37" s="7" t="s">
        <v>2542</v>
      </c>
      <c r="J37" s="7" t="s">
        <v>2363</v>
      </c>
      <c r="K37" s="7" t="s">
        <v>1662</v>
      </c>
      <c r="L37" s="11" t="str">
        <f>HYPERLINK("http://slimages.macys.com/is/image/MCY/13768152 ")</f>
        <v xml:space="preserve">http://slimages.macys.com/is/image/MCY/13768152 </v>
      </c>
    </row>
    <row r="38" spans="1:12" ht="39.950000000000003" customHeight="1" x14ac:dyDescent="0.25">
      <c r="A38" s="6" t="s">
        <v>711</v>
      </c>
      <c r="B38" s="7" t="s">
        <v>712</v>
      </c>
      <c r="C38" s="8">
        <v>2</v>
      </c>
      <c r="D38" s="9">
        <v>49.98</v>
      </c>
      <c r="E38" s="8" t="s">
        <v>713</v>
      </c>
      <c r="F38" s="7" t="s">
        <v>2512</v>
      </c>
      <c r="G38" s="10" t="s">
        <v>2450</v>
      </c>
      <c r="H38" s="7" t="s">
        <v>2391</v>
      </c>
      <c r="I38" s="7" t="s">
        <v>2409</v>
      </c>
      <c r="J38" s="7" t="s">
        <v>2363</v>
      </c>
      <c r="K38" s="7" t="s">
        <v>714</v>
      </c>
      <c r="L38" s="11" t="str">
        <f>HYPERLINK("http://slimages.macys.com/is/image/MCY/9602403 ")</f>
        <v xml:space="preserve">http://slimages.macys.com/is/image/MCY/9602403 </v>
      </c>
    </row>
    <row r="39" spans="1:12" ht="39.950000000000003" customHeight="1" x14ac:dyDescent="0.25">
      <c r="A39" s="6" t="s">
        <v>715</v>
      </c>
      <c r="B39" s="7" t="s">
        <v>716</v>
      </c>
      <c r="C39" s="8">
        <v>1</v>
      </c>
      <c r="D39" s="9">
        <v>24.99</v>
      </c>
      <c r="E39" s="8" t="s">
        <v>717</v>
      </c>
      <c r="F39" s="7" t="s">
        <v>2457</v>
      </c>
      <c r="G39" s="10" t="s">
        <v>2469</v>
      </c>
      <c r="H39" s="7" t="s">
        <v>2391</v>
      </c>
      <c r="I39" s="7" t="s">
        <v>2515</v>
      </c>
      <c r="J39" s="7" t="s">
        <v>2363</v>
      </c>
      <c r="K39" s="7" t="s">
        <v>718</v>
      </c>
      <c r="L39" s="11" t="str">
        <f>HYPERLINK("http://slimages.macys.com/is/image/MCY/11838415 ")</f>
        <v xml:space="preserve">http://slimages.macys.com/is/image/MCY/11838415 </v>
      </c>
    </row>
    <row r="40" spans="1:12" ht="39.950000000000003" customHeight="1" x14ac:dyDescent="0.25">
      <c r="A40" s="6" t="s">
        <v>719</v>
      </c>
      <c r="B40" s="7" t="s">
        <v>720</v>
      </c>
      <c r="C40" s="8">
        <v>1</v>
      </c>
      <c r="D40" s="9">
        <v>22.99</v>
      </c>
      <c r="E40" s="8" t="s">
        <v>721</v>
      </c>
      <c r="F40" s="7" t="s">
        <v>2355</v>
      </c>
      <c r="G40" s="10"/>
      <c r="H40" s="7" t="s">
        <v>2407</v>
      </c>
      <c r="I40" s="7" t="s">
        <v>2748</v>
      </c>
      <c r="J40" s="7" t="s">
        <v>2363</v>
      </c>
      <c r="K40" s="7" t="s">
        <v>722</v>
      </c>
      <c r="L40" s="11" t="str">
        <f>HYPERLINK("http://slimages.macys.com/is/image/MCY/14359164 ")</f>
        <v xml:space="preserve">http://slimages.macys.com/is/image/MCY/14359164 </v>
      </c>
    </row>
    <row r="41" spans="1:12" ht="39.950000000000003" customHeight="1" x14ac:dyDescent="0.25">
      <c r="A41" s="6" t="s">
        <v>723</v>
      </c>
      <c r="B41" s="7" t="s">
        <v>724</v>
      </c>
      <c r="C41" s="8">
        <v>4</v>
      </c>
      <c r="D41" s="9">
        <v>75.959999999999994</v>
      </c>
      <c r="E41" s="8">
        <v>6426194</v>
      </c>
      <c r="F41" s="7" t="s">
        <v>2436</v>
      </c>
      <c r="G41" s="10"/>
      <c r="H41" s="7" t="s">
        <v>2391</v>
      </c>
      <c r="I41" s="7" t="s">
        <v>2669</v>
      </c>
      <c r="J41" s="7" t="s">
        <v>2363</v>
      </c>
      <c r="K41" s="7" t="s">
        <v>2385</v>
      </c>
      <c r="L41" s="11" t="str">
        <f>HYPERLINK("http://slimages.macys.com/is/image/MCY/1594475 ")</f>
        <v xml:space="preserve">http://slimages.macys.com/is/image/MCY/1594475 </v>
      </c>
    </row>
    <row r="42" spans="1:12" ht="39.950000000000003" customHeight="1" x14ac:dyDescent="0.25">
      <c r="A42" s="6" t="s">
        <v>725</v>
      </c>
      <c r="B42" s="7" t="s">
        <v>726</v>
      </c>
      <c r="C42" s="8">
        <v>2</v>
      </c>
      <c r="D42" s="9">
        <v>29.98</v>
      </c>
      <c r="E42" s="8">
        <v>1002300300</v>
      </c>
      <c r="F42" s="7" t="s">
        <v>2362</v>
      </c>
      <c r="G42" s="10" t="s">
        <v>2441</v>
      </c>
      <c r="H42" s="7" t="s">
        <v>2442</v>
      </c>
      <c r="I42" s="7" t="s">
        <v>2411</v>
      </c>
      <c r="J42" s="7" t="s">
        <v>2363</v>
      </c>
      <c r="K42" s="7" t="s">
        <v>2421</v>
      </c>
      <c r="L42" s="11" t="str">
        <f>HYPERLINK("http://slimages.macys.com/is/image/MCY/9837795 ")</f>
        <v xml:space="preserve">http://slimages.macys.com/is/image/MCY/9837795 </v>
      </c>
    </row>
    <row r="43" spans="1:12" ht="39.950000000000003" customHeight="1" x14ac:dyDescent="0.25">
      <c r="A43" s="6" t="s">
        <v>727</v>
      </c>
      <c r="B43" s="7" t="s">
        <v>728</v>
      </c>
      <c r="C43" s="8">
        <v>1</v>
      </c>
      <c r="D43" s="9">
        <v>22.99</v>
      </c>
      <c r="E43" s="8" t="s">
        <v>729</v>
      </c>
      <c r="F43" s="7" t="s">
        <v>2355</v>
      </c>
      <c r="G43" s="10"/>
      <c r="H43" s="7" t="s">
        <v>2391</v>
      </c>
      <c r="I43" s="7" t="s">
        <v>2926</v>
      </c>
      <c r="J43" s="7" t="s">
        <v>2363</v>
      </c>
      <c r="K43" s="7" t="s">
        <v>2405</v>
      </c>
      <c r="L43" s="11" t="str">
        <f>HYPERLINK("http://slimages.macys.com/is/image/MCY/15863002 ")</f>
        <v xml:space="preserve">http://slimages.macys.com/is/image/MCY/15863002 </v>
      </c>
    </row>
    <row r="44" spans="1:12" ht="39.950000000000003" customHeight="1" x14ac:dyDescent="0.25">
      <c r="A44" s="6" t="s">
        <v>730</v>
      </c>
      <c r="B44" s="7" t="s">
        <v>731</v>
      </c>
      <c r="C44" s="8">
        <v>2</v>
      </c>
      <c r="D44" s="9">
        <v>23.98</v>
      </c>
      <c r="E44" s="8" t="s">
        <v>732</v>
      </c>
      <c r="F44" s="7" t="s">
        <v>2446</v>
      </c>
      <c r="G44" s="10"/>
      <c r="H44" s="7" t="s">
        <v>2391</v>
      </c>
      <c r="I44" s="7" t="s">
        <v>2550</v>
      </c>
      <c r="J44" s="7" t="s">
        <v>2363</v>
      </c>
      <c r="K44" s="7" t="s">
        <v>2385</v>
      </c>
      <c r="L44" s="11" t="str">
        <f>HYPERLINK("http://slimages.macys.com/is/image/MCY/935272 ")</f>
        <v xml:space="preserve">http://slimages.macys.com/is/image/MCY/935272 </v>
      </c>
    </row>
    <row r="45" spans="1:12" ht="39.950000000000003" customHeight="1" x14ac:dyDescent="0.25">
      <c r="A45" s="6" t="s">
        <v>733</v>
      </c>
      <c r="B45" s="7" t="s">
        <v>734</v>
      </c>
      <c r="C45" s="8">
        <v>2</v>
      </c>
      <c r="D45" s="9">
        <v>55.98</v>
      </c>
      <c r="E45" s="8" t="s">
        <v>735</v>
      </c>
      <c r="F45" s="7" t="s">
        <v>2573</v>
      </c>
      <c r="G45" s="10"/>
      <c r="H45" s="7" t="s">
        <v>2369</v>
      </c>
      <c r="I45" s="7" t="s">
        <v>2409</v>
      </c>
      <c r="J45" s="7" t="s">
        <v>2363</v>
      </c>
      <c r="K45" s="7" t="s">
        <v>2385</v>
      </c>
      <c r="L45" s="11" t="str">
        <f>HYPERLINK("http://slimages.macys.com/is/image/MCY/15706382 ")</f>
        <v xml:space="preserve">http://slimages.macys.com/is/image/MCY/15706382 </v>
      </c>
    </row>
    <row r="46" spans="1:12" ht="39.950000000000003" customHeight="1" x14ac:dyDescent="0.25">
      <c r="A46" s="6" t="s">
        <v>736</v>
      </c>
      <c r="B46" s="7" t="s">
        <v>737</v>
      </c>
      <c r="C46" s="8">
        <v>3</v>
      </c>
      <c r="D46" s="9">
        <v>29.97</v>
      </c>
      <c r="E46" s="8" t="s">
        <v>738</v>
      </c>
      <c r="F46" s="7" t="s">
        <v>2419</v>
      </c>
      <c r="G46" s="10"/>
      <c r="H46" s="7" t="s">
        <v>2391</v>
      </c>
      <c r="I46" s="7" t="s">
        <v>2550</v>
      </c>
      <c r="J46" s="7" t="s">
        <v>2363</v>
      </c>
      <c r="K46" s="7" t="s">
        <v>2385</v>
      </c>
      <c r="L46" s="11" t="str">
        <f>HYPERLINK("http://slimages.macys.com/is/image/MCY/2075013 ")</f>
        <v xml:space="preserve">http://slimages.macys.com/is/image/MCY/2075013 </v>
      </c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64"/>
  <sheetViews>
    <sheetView workbookViewId="0">
      <selection activeCell="B44" sqref="B44"/>
    </sheetView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2350</v>
      </c>
      <c r="I1" s="5" t="s">
        <v>2351</v>
      </c>
      <c r="J1" s="5" t="s">
        <v>2352</v>
      </c>
      <c r="K1" s="5" t="s">
        <v>2353</v>
      </c>
      <c r="L1" s="5" t="s">
        <v>2354</v>
      </c>
    </row>
    <row r="2" spans="1:12" ht="39.950000000000003" customHeight="1" x14ac:dyDescent="0.25">
      <c r="A2" s="6" t="s">
        <v>739</v>
      </c>
      <c r="B2" s="7" t="s">
        <v>740</v>
      </c>
      <c r="C2" s="8">
        <v>1</v>
      </c>
      <c r="D2" s="9">
        <v>229.99</v>
      </c>
      <c r="E2" s="8">
        <v>600723356001</v>
      </c>
      <c r="F2" s="7" t="s">
        <v>2368</v>
      </c>
      <c r="G2" s="10"/>
      <c r="H2" s="7" t="s">
        <v>2906</v>
      </c>
      <c r="I2" s="7" t="s">
        <v>2907</v>
      </c>
      <c r="J2" s="7" t="s">
        <v>2363</v>
      </c>
      <c r="K2" s="7" t="s">
        <v>2389</v>
      </c>
      <c r="L2" s="11" t="str">
        <f>HYPERLINK("http://slimages.macys.com/is/image/MCY/12684180 ")</f>
        <v xml:space="preserve">http://slimages.macys.com/is/image/MCY/12684180 </v>
      </c>
    </row>
    <row r="3" spans="1:12" ht="39.950000000000003" customHeight="1" x14ac:dyDescent="0.25">
      <c r="A3" s="6" t="s">
        <v>741</v>
      </c>
      <c r="B3" s="7" t="s">
        <v>742</v>
      </c>
      <c r="C3" s="8">
        <v>1</v>
      </c>
      <c r="D3" s="9">
        <v>173.99</v>
      </c>
      <c r="E3" s="8" t="s">
        <v>743</v>
      </c>
      <c r="F3" s="7" t="s">
        <v>2368</v>
      </c>
      <c r="G3" s="10"/>
      <c r="H3" s="7" t="s">
        <v>2407</v>
      </c>
      <c r="I3" s="7" t="s">
        <v>2434</v>
      </c>
      <c r="J3" s="7" t="s">
        <v>2363</v>
      </c>
      <c r="K3" s="7" t="s">
        <v>744</v>
      </c>
      <c r="L3" s="11" t="str">
        <f>HYPERLINK("http://slimages.macys.com/is/image/MCY/16125932 ")</f>
        <v xml:space="preserve">http://slimages.macys.com/is/image/MCY/16125932 </v>
      </c>
    </row>
    <row r="4" spans="1:12" ht="39.950000000000003" customHeight="1" x14ac:dyDescent="0.25">
      <c r="A4" s="6" t="s">
        <v>745</v>
      </c>
      <c r="B4" s="7" t="s">
        <v>746</v>
      </c>
      <c r="C4" s="8">
        <v>1</v>
      </c>
      <c r="D4" s="9">
        <v>179.99</v>
      </c>
      <c r="E4" s="8" t="s">
        <v>747</v>
      </c>
      <c r="F4" s="7" t="s">
        <v>2362</v>
      </c>
      <c r="G4" s="10"/>
      <c r="H4" s="7" t="s">
        <v>2700</v>
      </c>
      <c r="I4" s="7" t="s">
        <v>2701</v>
      </c>
      <c r="J4" s="7" t="s">
        <v>2363</v>
      </c>
      <c r="K4" s="7" t="s">
        <v>748</v>
      </c>
      <c r="L4" s="11" t="str">
        <f>HYPERLINK("http://slimages.macys.com/is/image/MCY/10022182 ")</f>
        <v xml:space="preserve">http://slimages.macys.com/is/image/MCY/10022182 </v>
      </c>
    </row>
    <row r="5" spans="1:12" ht="39.950000000000003" customHeight="1" x14ac:dyDescent="0.25">
      <c r="A5" s="6" t="s">
        <v>749</v>
      </c>
      <c r="B5" s="7" t="s">
        <v>750</v>
      </c>
      <c r="C5" s="8">
        <v>1</v>
      </c>
      <c r="D5" s="9">
        <v>139.99</v>
      </c>
      <c r="E5" s="8" t="s">
        <v>751</v>
      </c>
      <c r="F5" s="7" t="s">
        <v>2368</v>
      </c>
      <c r="G5" s="10"/>
      <c r="H5" s="7" t="s">
        <v>2369</v>
      </c>
      <c r="I5" s="7" t="s">
        <v>2409</v>
      </c>
      <c r="J5" s="7" t="s">
        <v>2363</v>
      </c>
      <c r="K5" s="7" t="s">
        <v>752</v>
      </c>
      <c r="L5" s="11" t="str">
        <f>HYPERLINK("http://slimages.macys.com/is/image/MCY/9627883 ")</f>
        <v xml:space="preserve">http://slimages.macys.com/is/image/MCY/9627883 </v>
      </c>
    </row>
    <row r="6" spans="1:12" ht="39.950000000000003" customHeight="1" x14ac:dyDescent="0.25">
      <c r="A6" s="6" t="s">
        <v>753</v>
      </c>
      <c r="B6" s="7" t="s">
        <v>754</v>
      </c>
      <c r="C6" s="8">
        <v>1</v>
      </c>
      <c r="D6" s="9">
        <v>113.99</v>
      </c>
      <c r="E6" s="8" t="s">
        <v>755</v>
      </c>
      <c r="F6" s="7" t="s">
        <v>2390</v>
      </c>
      <c r="G6" s="10"/>
      <c r="H6" s="7" t="s">
        <v>2369</v>
      </c>
      <c r="I6" s="7" t="s">
        <v>2409</v>
      </c>
      <c r="J6" s="7" t="s">
        <v>2363</v>
      </c>
      <c r="K6" s="7" t="s">
        <v>756</v>
      </c>
      <c r="L6" s="11" t="str">
        <f>HYPERLINK("http://slimages.macys.com/is/image/MCY/9798733 ")</f>
        <v xml:space="preserve">http://slimages.macys.com/is/image/MCY/9798733 </v>
      </c>
    </row>
    <row r="7" spans="1:12" ht="39.950000000000003" customHeight="1" x14ac:dyDescent="0.25">
      <c r="A7" s="6" t="s">
        <v>757</v>
      </c>
      <c r="B7" s="7" t="s">
        <v>758</v>
      </c>
      <c r="C7" s="8">
        <v>1</v>
      </c>
      <c r="D7" s="9">
        <v>119.99</v>
      </c>
      <c r="E7" s="8" t="s">
        <v>759</v>
      </c>
      <c r="F7" s="7" t="s">
        <v>2436</v>
      </c>
      <c r="G7" s="10"/>
      <c r="H7" s="7" t="s">
        <v>2391</v>
      </c>
      <c r="I7" s="7" t="s">
        <v>1683</v>
      </c>
      <c r="J7" s="7" t="s">
        <v>2363</v>
      </c>
      <c r="K7" s="7" t="s">
        <v>760</v>
      </c>
      <c r="L7" s="11" t="str">
        <f>HYPERLINK("http://slimages.macys.com/is/image/MCY/11637286 ")</f>
        <v xml:space="preserve">http://slimages.macys.com/is/image/MCY/11637286 </v>
      </c>
    </row>
    <row r="8" spans="1:12" ht="39.950000000000003" customHeight="1" x14ac:dyDescent="0.25">
      <c r="A8" s="6" t="s">
        <v>761</v>
      </c>
      <c r="B8" s="7" t="s">
        <v>762</v>
      </c>
      <c r="C8" s="8">
        <v>1</v>
      </c>
      <c r="D8" s="9">
        <v>119.99</v>
      </c>
      <c r="E8" s="8" t="s">
        <v>763</v>
      </c>
      <c r="F8" s="7"/>
      <c r="G8" s="10"/>
      <c r="H8" s="7" t="s">
        <v>2369</v>
      </c>
      <c r="I8" s="7" t="s">
        <v>2409</v>
      </c>
      <c r="J8" s="7" t="s">
        <v>2363</v>
      </c>
      <c r="K8" s="7" t="s">
        <v>764</v>
      </c>
      <c r="L8" s="11" t="str">
        <f>HYPERLINK("http://slimages.macys.com/is/image/MCY/9566783 ")</f>
        <v xml:space="preserve">http://slimages.macys.com/is/image/MCY/9566783 </v>
      </c>
    </row>
    <row r="9" spans="1:12" ht="39.950000000000003" customHeight="1" x14ac:dyDescent="0.25">
      <c r="A9" s="6" t="s">
        <v>765</v>
      </c>
      <c r="B9" s="7" t="s">
        <v>766</v>
      </c>
      <c r="C9" s="8">
        <v>2</v>
      </c>
      <c r="D9" s="9">
        <v>182</v>
      </c>
      <c r="E9" s="8">
        <v>43410</v>
      </c>
      <c r="F9" s="7" t="s">
        <v>2368</v>
      </c>
      <c r="G9" s="10" t="s">
        <v>2469</v>
      </c>
      <c r="H9" s="7" t="s">
        <v>2369</v>
      </c>
      <c r="I9" s="7" t="s">
        <v>767</v>
      </c>
      <c r="J9" s="7" t="s">
        <v>2363</v>
      </c>
      <c r="K9" s="7" t="s">
        <v>2421</v>
      </c>
      <c r="L9" s="11" t="str">
        <f>HYPERLINK("http://slimages.macys.com/is/image/MCY/13918239 ")</f>
        <v xml:space="preserve">http://slimages.macys.com/is/image/MCY/13918239 </v>
      </c>
    </row>
    <row r="10" spans="1:12" ht="39.950000000000003" customHeight="1" x14ac:dyDescent="0.25">
      <c r="A10" s="6" t="s">
        <v>768</v>
      </c>
      <c r="B10" s="7" t="s">
        <v>769</v>
      </c>
      <c r="C10" s="8">
        <v>1</v>
      </c>
      <c r="D10" s="9">
        <v>89.99</v>
      </c>
      <c r="E10" s="8" t="s">
        <v>770</v>
      </c>
      <c r="F10" s="7" t="s">
        <v>2505</v>
      </c>
      <c r="G10" s="10"/>
      <c r="H10" s="7" t="s">
        <v>2369</v>
      </c>
      <c r="I10" s="7" t="s">
        <v>2409</v>
      </c>
      <c r="J10" s="7" t="s">
        <v>2363</v>
      </c>
      <c r="K10" s="7" t="s">
        <v>771</v>
      </c>
      <c r="L10" s="11" t="str">
        <f>HYPERLINK("http://slimages.macys.com/is/image/MCY/9484911 ")</f>
        <v xml:space="preserve">http://slimages.macys.com/is/image/MCY/9484911 </v>
      </c>
    </row>
    <row r="11" spans="1:12" ht="39.950000000000003" customHeight="1" x14ac:dyDescent="0.25">
      <c r="A11" s="6" t="s">
        <v>772</v>
      </c>
      <c r="B11" s="7" t="s">
        <v>773</v>
      </c>
      <c r="C11" s="8">
        <v>1</v>
      </c>
      <c r="D11" s="9">
        <v>79.989999999999995</v>
      </c>
      <c r="E11" s="8" t="s">
        <v>774</v>
      </c>
      <c r="F11" s="7" t="s">
        <v>2368</v>
      </c>
      <c r="G11" s="10"/>
      <c r="H11" s="7" t="s">
        <v>2369</v>
      </c>
      <c r="I11" s="7" t="s">
        <v>2409</v>
      </c>
      <c r="J11" s="7" t="s">
        <v>2363</v>
      </c>
      <c r="K11" s="7" t="s">
        <v>775</v>
      </c>
      <c r="L11" s="11" t="str">
        <f>HYPERLINK("http://slimages.macys.com/is/image/MCY/9147703 ")</f>
        <v xml:space="preserve">http://slimages.macys.com/is/image/MCY/9147703 </v>
      </c>
    </row>
    <row r="12" spans="1:12" ht="39.950000000000003" customHeight="1" x14ac:dyDescent="0.25">
      <c r="A12" s="6" t="s">
        <v>776</v>
      </c>
      <c r="B12" s="7" t="s">
        <v>777</v>
      </c>
      <c r="C12" s="8">
        <v>1</v>
      </c>
      <c r="D12" s="9">
        <v>79.989999999999995</v>
      </c>
      <c r="E12" s="8" t="s">
        <v>778</v>
      </c>
      <c r="F12" s="7" t="s">
        <v>530</v>
      </c>
      <c r="G12" s="10"/>
      <c r="H12" s="7" t="s">
        <v>2369</v>
      </c>
      <c r="I12" s="7" t="s">
        <v>2409</v>
      </c>
      <c r="J12" s="7" t="s">
        <v>2363</v>
      </c>
      <c r="K12" s="7" t="s">
        <v>779</v>
      </c>
      <c r="L12" s="11" t="str">
        <f>HYPERLINK("http://slimages.macys.com/is/image/MCY/12054809 ")</f>
        <v xml:space="preserve">http://slimages.macys.com/is/image/MCY/12054809 </v>
      </c>
    </row>
    <row r="13" spans="1:12" ht="39.950000000000003" customHeight="1" x14ac:dyDescent="0.25">
      <c r="A13" s="6" t="s">
        <v>780</v>
      </c>
      <c r="B13" s="7" t="s">
        <v>781</v>
      </c>
      <c r="C13" s="8">
        <v>1</v>
      </c>
      <c r="D13" s="9">
        <v>79.989999999999995</v>
      </c>
      <c r="E13" s="8" t="s">
        <v>782</v>
      </c>
      <c r="F13" s="7" t="s">
        <v>2567</v>
      </c>
      <c r="G13" s="10"/>
      <c r="H13" s="7" t="s">
        <v>2369</v>
      </c>
      <c r="I13" s="7" t="s">
        <v>2409</v>
      </c>
      <c r="J13" s="7" t="s">
        <v>2363</v>
      </c>
      <c r="K13" s="7" t="s">
        <v>779</v>
      </c>
      <c r="L13" s="11" t="str">
        <f>HYPERLINK("http://slimages.macys.com/is/image/MCY/12054809 ")</f>
        <v xml:space="preserve">http://slimages.macys.com/is/image/MCY/12054809 </v>
      </c>
    </row>
    <row r="14" spans="1:12" ht="39.950000000000003" customHeight="1" x14ac:dyDescent="0.25">
      <c r="A14" s="6" t="s">
        <v>783</v>
      </c>
      <c r="B14" s="7" t="s">
        <v>784</v>
      </c>
      <c r="C14" s="8">
        <v>1</v>
      </c>
      <c r="D14" s="9">
        <v>42.99</v>
      </c>
      <c r="E14" s="8" t="s">
        <v>785</v>
      </c>
      <c r="F14" s="7" t="s">
        <v>2368</v>
      </c>
      <c r="G14" s="10"/>
      <c r="H14" s="7" t="s">
        <v>2391</v>
      </c>
      <c r="I14" s="7" t="s">
        <v>2409</v>
      </c>
      <c r="J14" s="7" t="s">
        <v>2363</v>
      </c>
      <c r="K14" s="7"/>
      <c r="L14" s="11" t="str">
        <f>HYPERLINK("http://slimages.macys.com/is/image/MCY/9912812 ")</f>
        <v xml:space="preserve">http://slimages.macys.com/is/image/MCY/9912812 </v>
      </c>
    </row>
    <row r="15" spans="1:12" ht="39.950000000000003" customHeight="1" x14ac:dyDescent="0.25">
      <c r="A15" s="6" t="s">
        <v>786</v>
      </c>
      <c r="B15" s="7" t="s">
        <v>787</v>
      </c>
      <c r="C15" s="8">
        <v>1</v>
      </c>
      <c r="D15" s="9">
        <v>57.99</v>
      </c>
      <c r="E15" s="8" t="s">
        <v>788</v>
      </c>
      <c r="F15" s="7" t="s">
        <v>2386</v>
      </c>
      <c r="G15" s="10"/>
      <c r="H15" s="7" t="s">
        <v>2369</v>
      </c>
      <c r="I15" s="7" t="s">
        <v>2543</v>
      </c>
      <c r="J15" s="7" t="s">
        <v>2363</v>
      </c>
      <c r="K15" s="7" t="s">
        <v>2385</v>
      </c>
      <c r="L15" s="11" t="str">
        <f>HYPERLINK("http://slimages.macys.com/is/image/MCY/10290998 ")</f>
        <v xml:space="preserve">http://slimages.macys.com/is/image/MCY/10290998 </v>
      </c>
    </row>
    <row r="16" spans="1:12" ht="39.950000000000003" customHeight="1" x14ac:dyDescent="0.25">
      <c r="A16" s="6" t="s">
        <v>789</v>
      </c>
      <c r="B16" s="7" t="s">
        <v>790</v>
      </c>
      <c r="C16" s="8">
        <v>6</v>
      </c>
      <c r="D16" s="9">
        <v>233.94</v>
      </c>
      <c r="E16" s="8" t="s">
        <v>791</v>
      </c>
      <c r="F16" s="7" t="s">
        <v>2446</v>
      </c>
      <c r="G16" s="10"/>
      <c r="H16" s="7" t="s">
        <v>2391</v>
      </c>
      <c r="I16" s="7" t="s">
        <v>2409</v>
      </c>
      <c r="J16" s="7" t="s">
        <v>2363</v>
      </c>
      <c r="K16" s="7"/>
      <c r="L16" s="11" t="str">
        <f>HYPERLINK("http://slimages.macys.com/is/image/MCY/9912812 ")</f>
        <v xml:space="preserve">http://slimages.macys.com/is/image/MCY/9912812 </v>
      </c>
    </row>
    <row r="17" spans="1:12" ht="39.950000000000003" customHeight="1" x14ac:dyDescent="0.25">
      <c r="A17" s="6" t="s">
        <v>792</v>
      </c>
      <c r="B17" s="7" t="s">
        <v>793</v>
      </c>
      <c r="C17" s="8">
        <v>1</v>
      </c>
      <c r="D17" s="9">
        <v>47.99</v>
      </c>
      <c r="E17" s="8" t="s">
        <v>794</v>
      </c>
      <c r="F17" s="7" t="s">
        <v>2355</v>
      </c>
      <c r="G17" s="10"/>
      <c r="H17" s="7" t="s">
        <v>2391</v>
      </c>
      <c r="I17" s="7" t="s">
        <v>2570</v>
      </c>
      <c r="J17" s="7" t="s">
        <v>2363</v>
      </c>
      <c r="K17" s="7" t="s">
        <v>2389</v>
      </c>
      <c r="L17" s="11" t="str">
        <f>HYPERLINK("http://slimages.macys.com/is/image/MCY/11629603 ")</f>
        <v xml:space="preserve">http://slimages.macys.com/is/image/MCY/11629603 </v>
      </c>
    </row>
    <row r="18" spans="1:12" ht="39.950000000000003" customHeight="1" x14ac:dyDescent="0.25">
      <c r="A18" s="6" t="s">
        <v>795</v>
      </c>
      <c r="B18" s="7" t="s">
        <v>796</v>
      </c>
      <c r="C18" s="8">
        <v>2</v>
      </c>
      <c r="D18" s="9">
        <v>95.98</v>
      </c>
      <c r="E18" s="8" t="s">
        <v>797</v>
      </c>
      <c r="F18" s="7" t="s">
        <v>2355</v>
      </c>
      <c r="G18" s="10"/>
      <c r="H18" s="7" t="s">
        <v>2391</v>
      </c>
      <c r="I18" s="7" t="s">
        <v>2570</v>
      </c>
      <c r="J18" s="7" t="s">
        <v>2363</v>
      </c>
      <c r="K18" s="7" t="s">
        <v>2389</v>
      </c>
      <c r="L18" s="11" t="str">
        <f>HYPERLINK("http://slimages.macys.com/is/image/MCY/11629606 ")</f>
        <v xml:space="preserve">http://slimages.macys.com/is/image/MCY/11629606 </v>
      </c>
    </row>
    <row r="19" spans="1:12" ht="39.950000000000003" customHeight="1" x14ac:dyDescent="0.25">
      <c r="A19" s="6" t="s">
        <v>798</v>
      </c>
      <c r="B19" s="7" t="s">
        <v>799</v>
      </c>
      <c r="C19" s="8">
        <v>1</v>
      </c>
      <c r="D19" s="9">
        <v>38.99</v>
      </c>
      <c r="E19" s="8" t="s">
        <v>800</v>
      </c>
      <c r="F19" s="7" t="s">
        <v>2372</v>
      </c>
      <c r="G19" s="10"/>
      <c r="H19" s="7" t="s">
        <v>2391</v>
      </c>
      <c r="I19" s="7" t="s">
        <v>2409</v>
      </c>
      <c r="J19" s="7" t="s">
        <v>2363</v>
      </c>
      <c r="K19" s="7" t="s">
        <v>2714</v>
      </c>
      <c r="L19" s="11" t="str">
        <f>HYPERLINK("http://slimages.macys.com/is/image/MCY/9310362 ")</f>
        <v xml:space="preserve">http://slimages.macys.com/is/image/MCY/9310362 </v>
      </c>
    </row>
    <row r="20" spans="1:12" ht="39.950000000000003" customHeight="1" x14ac:dyDescent="0.25">
      <c r="A20" s="6" t="s">
        <v>801</v>
      </c>
      <c r="B20" s="7" t="s">
        <v>802</v>
      </c>
      <c r="C20" s="8">
        <v>2</v>
      </c>
      <c r="D20" s="9">
        <v>71.98</v>
      </c>
      <c r="E20" s="8" t="s">
        <v>803</v>
      </c>
      <c r="F20" s="7" t="s">
        <v>2495</v>
      </c>
      <c r="G20" s="10" t="s">
        <v>804</v>
      </c>
      <c r="H20" s="7" t="s">
        <v>2391</v>
      </c>
      <c r="I20" s="7" t="s">
        <v>2409</v>
      </c>
      <c r="J20" s="7" t="s">
        <v>2363</v>
      </c>
      <c r="K20" s="7" t="s">
        <v>2913</v>
      </c>
      <c r="L20" s="11" t="str">
        <f>HYPERLINK("http://slimages.macys.com/is/image/MCY/8216605 ")</f>
        <v xml:space="preserve">http://slimages.macys.com/is/image/MCY/8216605 </v>
      </c>
    </row>
    <row r="21" spans="1:12" ht="39.950000000000003" customHeight="1" x14ac:dyDescent="0.25">
      <c r="A21" s="6" t="s">
        <v>1650</v>
      </c>
      <c r="B21" s="7" t="s">
        <v>1651</v>
      </c>
      <c r="C21" s="8">
        <v>1</v>
      </c>
      <c r="D21" s="9">
        <v>35.99</v>
      </c>
      <c r="E21" s="8" t="s">
        <v>1652</v>
      </c>
      <c r="F21" s="7" t="s">
        <v>2372</v>
      </c>
      <c r="G21" s="10"/>
      <c r="H21" s="7" t="s">
        <v>2391</v>
      </c>
      <c r="I21" s="7" t="s">
        <v>2409</v>
      </c>
      <c r="J21" s="7" t="s">
        <v>2363</v>
      </c>
      <c r="K21" s="7" t="s">
        <v>2727</v>
      </c>
      <c r="L21" s="11" t="str">
        <f>HYPERLINK("http://slimages.macys.com/is/image/MCY/9310361 ")</f>
        <v xml:space="preserve">http://slimages.macys.com/is/image/MCY/9310361 </v>
      </c>
    </row>
    <row r="22" spans="1:12" ht="39.950000000000003" customHeight="1" x14ac:dyDescent="0.25">
      <c r="A22" s="6" t="s">
        <v>805</v>
      </c>
      <c r="B22" s="7" t="s">
        <v>806</v>
      </c>
      <c r="C22" s="8">
        <v>3</v>
      </c>
      <c r="D22" s="9">
        <v>104.97</v>
      </c>
      <c r="E22" s="8" t="s">
        <v>807</v>
      </c>
      <c r="F22" s="7" t="s">
        <v>808</v>
      </c>
      <c r="G22" s="10"/>
      <c r="H22" s="7" t="s">
        <v>2391</v>
      </c>
      <c r="I22" s="7" t="s">
        <v>2409</v>
      </c>
      <c r="J22" s="7" t="s">
        <v>2363</v>
      </c>
      <c r="K22" s="7" t="s">
        <v>2531</v>
      </c>
      <c r="L22" s="11" t="str">
        <f>HYPERLINK("http://slimages.macys.com/is/image/MCY/9192776 ")</f>
        <v xml:space="preserve">http://slimages.macys.com/is/image/MCY/9192776 </v>
      </c>
    </row>
    <row r="23" spans="1:12" ht="39.950000000000003" customHeight="1" x14ac:dyDescent="0.25">
      <c r="A23" s="6" t="s">
        <v>809</v>
      </c>
      <c r="B23" s="7" t="s">
        <v>810</v>
      </c>
      <c r="C23" s="8">
        <v>1</v>
      </c>
      <c r="D23" s="9">
        <v>31.99</v>
      </c>
      <c r="E23" s="8" t="s">
        <v>811</v>
      </c>
      <c r="F23" s="7" t="s">
        <v>2368</v>
      </c>
      <c r="G23" s="10"/>
      <c r="H23" s="7" t="s">
        <v>2391</v>
      </c>
      <c r="I23" s="7" t="s">
        <v>2409</v>
      </c>
      <c r="J23" s="7" t="s">
        <v>2363</v>
      </c>
      <c r="K23" s="7"/>
      <c r="L23" s="11" t="str">
        <f>HYPERLINK("http://slimages.macys.com/is/image/MCY/9912809 ")</f>
        <v xml:space="preserve">http://slimages.macys.com/is/image/MCY/9912809 </v>
      </c>
    </row>
    <row r="24" spans="1:12" ht="39.950000000000003" customHeight="1" x14ac:dyDescent="0.25">
      <c r="A24" s="6" t="s">
        <v>812</v>
      </c>
      <c r="B24" s="7" t="s">
        <v>813</v>
      </c>
      <c r="C24" s="8">
        <v>2</v>
      </c>
      <c r="D24" s="9">
        <v>63.98</v>
      </c>
      <c r="E24" s="8" t="s">
        <v>814</v>
      </c>
      <c r="F24" s="7" t="s">
        <v>2446</v>
      </c>
      <c r="G24" s="10"/>
      <c r="H24" s="7" t="s">
        <v>2391</v>
      </c>
      <c r="I24" s="7" t="s">
        <v>2409</v>
      </c>
      <c r="J24" s="7" t="s">
        <v>2363</v>
      </c>
      <c r="K24" s="7"/>
      <c r="L24" s="11" t="str">
        <f>HYPERLINK("http://slimages.macys.com/is/image/MCY/9961970 ")</f>
        <v xml:space="preserve">http://slimages.macys.com/is/image/MCY/9961970 </v>
      </c>
    </row>
    <row r="25" spans="1:12" ht="39.950000000000003" customHeight="1" x14ac:dyDescent="0.25">
      <c r="A25" s="6" t="s">
        <v>815</v>
      </c>
      <c r="B25" s="7" t="s">
        <v>816</v>
      </c>
      <c r="C25" s="8">
        <v>1</v>
      </c>
      <c r="D25" s="9">
        <v>29.99</v>
      </c>
      <c r="E25" s="8" t="s">
        <v>817</v>
      </c>
      <c r="F25" s="7" t="s">
        <v>2446</v>
      </c>
      <c r="G25" s="10"/>
      <c r="H25" s="7" t="s">
        <v>2391</v>
      </c>
      <c r="I25" s="7" t="s">
        <v>2409</v>
      </c>
      <c r="J25" s="7" t="s">
        <v>2363</v>
      </c>
      <c r="K25" s="7" t="s">
        <v>818</v>
      </c>
      <c r="L25" s="11" t="str">
        <f>HYPERLINK("http://slimages.macys.com/is/image/MCY/9615492 ")</f>
        <v xml:space="preserve">http://slimages.macys.com/is/image/MCY/9615492 </v>
      </c>
    </row>
    <row r="26" spans="1:12" ht="39.950000000000003" customHeight="1" x14ac:dyDescent="0.25">
      <c r="A26" s="6" t="s">
        <v>819</v>
      </c>
      <c r="B26" s="7" t="s">
        <v>820</v>
      </c>
      <c r="C26" s="8">
        <v>2</v>
      </c>
      <c r="D26" s="9">
        <v>93.98</v>
      </c>
      <c r="E26" s="8" t="s">
        <v>821</v>
      </c>
      <c r="F26" s="7" t="s">
        <v>2355</v>
      </c>
      <c r="G26" s="10" t="s">
        <v>822</v>
      </c>
      <c r="H26" s="7" t="s">
        <v>2391</v>
      </c>
      <c r="I26" s="7" t="s">
        <v>2926</v>
      </c>
      <c r="J26" s="7" t="s">
        <v>2363</v>
      </c>
      <c r="K26" s="7" t="s">
        <v>2371</v>
      </c>
      <c r="L26" s="11" t="str">
        <f>HYPERLINK("http://slimages.macys.com/is/image/MCY/11543323 ")</f>
        <v xml:space="preserve">http://slimages.macys.com/is/image/MCY/11543323 </v>
      </c>
    </row>
    <row r="27" spans="1:12" ht="39.950000000000003" customHeight="1" x14ac:dyDescent="0.25">
      <c r="A27" s="6" t="s">
        <v>2929</v>
      </c>
      <c r="B27" s="7" t="s">
        <v>2930</v>
      </c>
      <c r="C27" s="8">
        <v>2</v>
      </c>
      <c r="D27" s="9">
        <v>75.98</v>
      </c>
      <c r="E27" s="8" t="s">
        <v>2931</v>
      </c>
      <c r="F27" s="7" t="s">
        <v>2355</v>
      </c>
      <c r="G27" s="10"/>
      <c r="H27" s="7" t="s">
        <v>2391</v>
      </c>
      <c r="I27" s="7" t="s">
        <v>2928</v>
      </c>
      <c r="J27" s="7" t="s">
        <v>2363</v>
      </c>
      <c r="K27" s="7" t="s">
        <v>2385</v>
      </c>
      <c r="L27" s="11" t="str">
        <f>HYPERLINK("http://slimages.macys.com/is/image/MCY/15049330 ")</f>
        <v xml:space="preserve">http://slimages.macys.com/is/image/MCY/15049330 </v>
      </c>
    </row>
    <row r="28" spans="1:12" ht="39.950000000000003" customHeight="1" x14ac:dyDescent="0.25">
      <c r="A28" s="6" t="s">
        <v>823</v>
      </c>
      <c r="B28" s="7" t="s">
        <v>824</v>
      </c>
      <c r="C28" s="8">
        <v>2</v>
      </c>
      <c r="D28" s="9">
        <v>99.98</v>
      </c>
      <c r="E28" s="8" t="s">
        <v>825</v>
      </c>
      <c r="F28" s="7" t="s">
        <v>2368</v>
      </c>
      <c r="G28" s="10"/>
      <c r="H28" s="7" t="s">
        <v>2729</v>
      </c>
      <c r="I28" s="7" t="s">
        <v>2730</v>
      </c>
      <c r="J28" s="7" t="s">
        <v>2363</v>
      </c>
      <c r="K28" s="7" t="s">
        <v>2640</v>
      </c>
      <c r="L28" s="11" t="str">
        <f>HYPERLINK("http://slimages.macys.com/is/image/MCY/14458688 ")</f>
        <v xml:space="preserve">http://slimages.macys.com/is/image/MCY/14458688 </v>
      </c>
    </row>
    <row r="29" spans="1:12" ht="39.950000000000003" customHeight="1" x14ac:dyDescent="0.25">
      <c r="A29" s="6" t="s">
        <v>2914</v>
      </c>
      <c r="B29" s="7" t="s">
        <v>2915</v>
      </c>
      <c r="C29" s="8">
        <v>1</v>
      </c>
      <c r="D29" s="9">
        <v>27.99</v>
      </c>
      <c r="E29" s="8" t="s">
        <v>2916</v>
      </c>
      <c r="F29" s="7" t="s">
        <v>2368</v>
      </c>
      <c r="G29" s="10"/>
      <c r="H29" s="7" t="s">
        <v>2391</v>
      </c>
      <c r="I29" s="7" t="s">
        <v>2409</v>
      </c>
      <c r="J29" s="7" t="s">
        <v>2363</v>
      </c>
      <c r="K29" s="7" t="s">
        <v>2917</v>
      </c>
      <c r="L29" s="11" t="str">
        <f>HYPERLINK("http://slimages.macys.com/is/image/MCY/9614138 ")</f>
        <v xml:space="preserve">http://slimages.macys.com/is/image/MCY/9614138 </v>
      </c>
    </row>
    <row r="30" spans="1:12" ht="39.950000000000003" customHeight="1" x14ac:dyDescent="0.25">
      <c r="A30" s="6" t="s">
        <v>826</v>
      </c>
      <c r="B30" s="7" t="s">
        <v>2628</v>
      </c>
      <c r="C30" s="8">
        <v>1</v>
      </c>
      <c r="D30" s="9">
        <v>31.99</v>
      </c>
      <c r="E30" s="8" t="s">
        <v>827</v>
      </c>
      <c r="F30" s="7" t="s">
        <v>2446</v>
      </c>
      <c r="G30" s="10"/>
      <c r="H30" s="7" t="s">
        <v>2369</v>
      </c>
      <c r="I30" s="7" t="s">
        <v>2409</v>
      </c>
      <c r="J30" s="7" t="s">
        <v>2363</v>
      </c>
      <c r="K30" s="7" t="s">
        <v>828</v>
      </c>
      <c r="L30" s="11" t="str">
        <f>HYPERLINK("http://slimages.macys.com/is/image/MCY/9767691 ")</f>
        <v xml:space="preserve">http://slimages.macys.com/is/image/MCY/9767691 </v>
      </c>
    </row>
    <row r="31" spans="1:12" ht="39.950000000000003" customHeight="1" x14ac:dyDescent="0.25">
      <c r="A31" s="6" t="s">
        <v>829</v>
      </c>
      <c r="B31" s="7" t="s">
        <v>830</v>
      </c>
      <c r="C31" s="8">
        <v>1</v>
      </c>
      <c r="D31" s="9">
        <v>29.99</v>
      </c>
      <c r="E31" s="8" t="s">
        <v>831</v>
      </c>
      <c r="F31" s="7"/>
      <c r="G31" s="10"/>
      <c r="H31" s="7" t="s">
        <v>2369</v>
      </c>
      <c r="I31" s="7" t="s">
        <v>2431</v>
      </c>
      <c r="J31" s="7" t="s">
        <v>2363</v>
      </c>
      <c r="K31" s="7" t="s">
        <v>2927</v>
      </c>
      <c r="L31" s="11" t="str">
        <f>HYPERLINK("http://slimages.macys.com/is/image/MCY/16344436 ")</f>
        <v xml:space="preserve">http://slimages.macys.com/is/image/MCY/16344436 </v>
      </c>
    </row>
    <row r="32" spans="1:12" ht="39.950000000000003" customHeight="1" x14ac:dyDescent="0.25">
      <c r="A32" s="6" t="s">
        <v>832</v>
      </c>
      <c r="B32" s="7" t="s">
        <v>833</v>
      </c>
      <c r="C32" s="8">
        <v>2</v>
      </c>
      <c r="D32" s="9">
        <v>51.98</v>
      </c>
      <c r="E32" s="8" t="s">
        <v>834</v>
      </c>
      <c r="F32" s="7" t="s">
        <v>2368</v>
      </c>
      <c r="G32" s="10"/>
      <c r="H32" s="7" t="s">
        <v>2391</v>
      </c>
      <c r="I32" s="7" t="s">
        <v>2409</v>
      </c>
      <c r="J32" s="7" t="s">
        <v>2363</v>
      </c>
      <c r="K32" s="7" t="s">
        <v>2385</v>
      </c>
      <c r="L32" s="11" t="str">
        <f>HYPERLINK("http://slimages.macys.com/is/image/MCY/9533881 ")</f>
        <v xml:space="preserve">http://slimages.macys.com/is/image/MCY/9533881 </v>
      </c>
    </row>
    <row r="33" spans="1:12" ht="39.950000000000003" customHeight="1" x14ac:dyDescent="0.25">
      <c r="A33" s="6" t="s">
        <v>835</v>
      </c>
      <c r="B33" s="7" t="s">
        <v>836</v>
      </c>
      <c r="C33" s="8">
        <v>1</v>
      </c>
      <c r="D33" s="9">
        <v>19.989999999999998</v>
      </c>
      <c r="E33" s="8">
        <v>46584</v>
      </c>
      <c r="F33" s="7" t="s">
        <v>2435</v>
      </c>
      <c r="G33" s="10" t="s">
        <v>2973</v>
      </c>
      <c r="H33" s="7" t="s">
        <v>2391</v>
      </c>
      <c r="I33" s="7" t="s">
        <v>2456</v>
      </c>
      <c r="J33" s="7" t="s">
        <v>2363</v>
      </c>
      <c r="K33" s="7" t="s">
        <v>2385</v>
      </c>
      <c r="L33" s="11" t="str">
        <f>HYPERLINK("http://slimages.macys.com/is/image/MCY/10008445 ")</f>
        <v xml:space="preserve">http://slimages.macys.com/is/image/MCY/10008445 </v>
      </c>
    </row>
    <row r="34" spans="1:12" ht="39.950000000000003" customHeight="1" x14ac:dyDescent="0.25">
      <c r="A34" s="6" t="s">
        <v>837</v>
      </c>
      <c r="B34" s="7" t="s">
        <v>838</v>
      </c>
      <c r="C34" s="8">
        <v>1</v>
      </c>
      <c r="D34" s="9">
        <v>27.99</v>
      </c>
      <c r="E34" s="8" t="s">
        <v>839</v>
      </c>
      <c r="F34" s="7" t="s">
        <v>2615</v>
      </c>
      <c r="G34" s="10" t="s">
        <v>2426</v>
      </c>
      <c r="H34" s="7" t="s">
        <v>2369</v>
      </c>
      <c r="I34" s="7" t="s">
        <v>2409</v>
      </c>
      <c r="J34" s="7" t="s">
        <v>2363</v>
      </c>
      <c r="K34" s="7" t="s">
        <v>840</v>
      </c>
      <c r="L34" s="11" t="str">
        <f>HYPERLINK("http://slimages.macys.com/is/image/MCY/11923695 ")</f>
        <v xml:space="preserve">http://slimages.macys.com/is/image/MCY/11923695 </v>
      </c>
    </row>
    <row r="35" spans="1:12" ht="39.950000000000003" customHeight="1" x14ac:dyDescent="0.25">
      <c r="A35" s="6" t="s">
        <v>841</v>
      </c>
      <c r="B35" s="7" t="s">
        <v>842</v>
      </c>
      <c r="C35" s="8">
        <v>1</v>
      </c>
      <c r="D35" s="9">
        <v>27.99</v>
      </c>
      <c r="E35" s="8" t="s">
        <v>843</v>
      </c>
      <c r="F35" s="7" t="s">
        <v>2446</v>
      </c>
      <c r="G35" s="10" t="s">
        <v>2426</v>
      </c>
      <c r="H35" s="7" t="s">
        <v>2369</v>
      </c>
      <c r="I35" s="7" t="s">
        <v>2409</v>
      </c>
      <c r="J35" s="7" t="s">
        <v>2363</v>
      </c>
      <c r="K35" s="7" t="s">
        <v>840</v>
      </c>
      <c r="L35" s="11" t="str">
        <f>HYPERLINK("http://slimages.macys.com/is/image/MCY/11923695 ")</f>
        <v xml:space="preserve">http://slimages.macys.com/is/image/MCY/11923695 </v>
      </c>
    </row>
    <row r="36" spans="1:12" ht="39.950000000000003" customHeight="1" x14ac:dyDescent="0.25">
      <c r="A36" s="6" t="s">
        <v>844</v>
      </c>
      <c r="B36" s="7" t="s">
        <v>845</v>
      </c>
      <c r="C36" s="8">
        <v>2</v>
      </c>
      <c r="D36" s="9">
        <v>47.98</v>
      </c>
      <c r="E36" s="8" t="s">
        <v>846</v>
      </c>
      <c r="F36" s="7" t="s">
        <v>2446</v>
      </c>
      <c r="G36" s="10"/>
      <c r="H36" s="7" t="s">
        <v>2391</v>
      </c>
      <c r="I36" s="7" t="s">
        <v>2409</v>
      </c>
      <c r="J36" s="7" t="s">
        <v>2363</v>
      </c>
      <c r="K36" s="7" t="s">
        <v>2385</v>
      </c>
      <c r="L36" s="11" t="str">
        <f>HYPERLINK("http://slimages.macys.com/is/image/MCY/16396420 ")</f>
        <v xml:space="preserve">http://slimages.macys.com/is/image/MCY/16396420 </v>
      </c>
    </row>
    <row r="37" spans="1:12" ht="39.950000000000003" customHeight="1" x14ac:dyDescent="0.25">
      <c r="A37" s="6" t="s">
        <v>847</v>
      </c>
      <c r="B37" s="7" t="s">
        <v>848</v>
      </c>
      <c r="C37" s="8">
        <v>1</v>
      </c>
      <c r="D37" s="9">
        <v>27.99</v>
      </c>
      <c r="E37" s="8" t="s">
        <v>849</v>
      </c>
      <c r="F37" s="7" t="s">
        <v>2446</v>
      </c>
      <c r="G37" s="10"/>
      <c r="H37" s="7" t="s">
        <v>2391</v>
      </c>
      <c r="I37" s="7" t="s">
        <v>3067</v>
      </c>
      <c r="J37" s="7" t="s">
        <v>2363</v>
      </c>
      <c r="K37" s="7" t="s">
        <v>2385</v>
      </c>
      <c r="L37" s="11" t="str">
        <f>HYPERLINK("http://slimages.macys.com/is/image/MCY/11686081 ")</f>
        <v xml:space="preserve">http://slimages.macys.com/is/image/MCY/11686081 </v>
      </c>
    </row>
    <row r="38" spans="1:12" ht="39.950000000000003" customHeight="1" x14ac:dyDescent="0.25">
      <c r="A38" s="6" t="s">
        <v>850</v>
      </c>
      <c r="B38" s="7" t="s">
        <v>851</v>
      </c>
      <c r="C38" s="8">
        <v>2</v>
      </c>
      <c r="D38" s="9">
        <v>39.979999999999997</v>
      </c>
      <c r="E38" s="8" t="s">
        <v>852</v>
      </c>
      <c r="F38" s="7" t="s">
        <v>2368</v>
      </c>
      <c r="G38" s="10"/>
      <c r="H38" s="7" t="s">
        <v>2391</v>
      </c>
      <c r="I38" s="7" t="s">
        <v>2409</v>
      </c>
      <c r="J38" s="7" t="s">
        <v>2363</v>
      </c>
      <c r="K38" s="7"/>
      <c r="L38" s="11" t="str">
        <f>HYPERLINK("http://slimages.macys.com/is/image/MCY/9927294 ")</f>
        <v xml:space="preserve">http://slimages.macys.com/is/image/MCY/9927294 </v>
      </c>
    </row>
    <row r="39" spans="1:12" ht="39.950000000000003" customHeight="1" x14ac:dyDescent="0.25">
      <c r="A39" s="6" t="s">
        <v>853</v>
      </c>
      <c r="B39" s="7" t="s">
        <v>854</v>
      </c>
      <c r="C39" s="8">
        <v>2</v>
      </c>
      <c r="D39" s="9">
        <v>39.979999999999997</v>
      </c>
      <c r="E39" s="8" t="s">
        <v>855</v>
      </c>
      <c r="F39" s="7" t="s">
        <v>2567</v>
      </c>
      <c r="G39" s="10"/>
      <c r="H39" s="7" t="s">
        <v>2391</v>
      </c>
      <c r="I39" s="7" t="s">
        <v>2409</v>
      </c>
      <c r="J39" s="7" t="s">
        <v>2363</v>
      </c>
      <c r="K39" s="7" t="s">
        <v>856</v>
      </c>
      <c r="L39" s="11" t="str">
        <f>HYPERLINK("http://slimages.macys.com/is/image/MCY/9602366 ")</f>
        <v xml:space="preserve">http://slimages.macys.com/is/image/MCY/9602366 </v>
      </c>
    </row>
    <row r="40" spans="1:12" ht="39.950000000000003" customHeight="1" x14ac:dyDescent="0.25">
      <c r="A40" s="6" t="s">
        <v>857</v>
      </c>
      <c r="B40" s="7" t="s">
        <v>858</v>
      </c>
      <c r="C40" s="8">
        <v>2</v>
      </c>
      <c r="D40" s="9">
        <v>29.98</v>
      </c>
      <c r="E40" s="8" t="s">
        <v>859</v>
      </c>
      <c r="F40" s="7" t="s">
        <v>2446</v>
      </c>
      <c r="G40" s="10"/>
      <c r="H40" s="7" t="s">
        <v>2391</v>
      </c>
      <c r="I40" s="7" t="s">
        <v>2456</v>
      </c>
      <c r="J40" s="7" t="s">
        <v>2363</v>
      </c>
      <c r="K40" s="7" t="s">
        <v>2385</v>
      </c>
      <c r="L40" s="11" t="str">
        <f>HYPERLINK("http://slimages.macys.com/is/image/MCY/9197452 ")</f>
        <v xml:space="preserve">http://slimages.macys.com/is/image/MCY/9197452 </v>
      </c>
    </row>
    <row r="41" spans="1:12" ht="39.950000000000003" customHeight="1" x14ac:dyDescent="0.25">
      <c r="A41" s="6" t="s">
        <v>860</v>
      </c>
      <c r="B41" s="7" t="s">
        <v>861</v>
      </c>
      <c r="C41" s="8">
        <v>2</v>
      </c>
      <c r="D41" s="9">
        <v>29.98</v>
      </c>
      <c r="E41" s="8" t="s">
        <v>859</v>
      </c>
      <c r="F41" s="7" t="s">
        <v>2446</v>
      </c>
      <c r="G41" s="10"/>
      <c r="H41" s="7" t="s">
        <v>2391</v>
      </c>
      <c r="I41" s="7" t="s">
        <v>2456</v>
      </c>
      <c r="J41" s="7" t="s">
        <v>2363</v>
      </c>
      <c r="K41" s="7" t="s">
        <v>2385</v>
      </c>
      <c r="L41" s="11" t="str">
        <f>HYPERLINK("http://slimages.macys.com/is/image/MCY/9197452 ")</f>
        <v xml:space="preserve">http://slimages.macys.com/is/image/MCY/9197452 </v>
      </c>
    </row>
    <row r="42" spans="1:12" ht="39.950000000000003" customHeight="1" x14ac:dyDescent="0.25">
      <c r="A42" s="6" t="s">
        <v>862</v>
      </c>
      <c r="B42" s="7" t="s">
        <v>863</v>
      </c>
      <c r="C42" s="8">
        <v>1</v>
      </c>
      <c r="D42" s="9">
        <v>17.989999999999998</v>
      </c>
      <c r="E42" s="8" t="s">
        <v>864</v>
      </c>
      <c r="F42" s="7" t="s">
        <v>2495</v>
      </c>
      <c r="G42" s="10"/>
      <c r="H42" s="7" t="s">
        <v>2391</v>
      </c>
      <c r="I42" s="7" t="s">
        <v>2550</v>
      </c>
      <c r="J42" s="7" t="s">
        <v>2363</v>
      </c>
      <c r="K42" s="7" t="s">
        <v>2385</v>
      </c>
      <c r="L42" s="11" t="str">
        <f>HYPERLINK("http://slimages.macys.com/is/image/MCY/935272 ")</f>
        <v xml:space="preserve">http://slimages.macys.com/is/image/MCY/935272 </v>
      </c>
    </row>
    <row r="43" spans="1:12" ht="39.950000000000003" customHeight="1" x14ac:dyDescent="0.25">
      <c r="A43" s="6" t="s">
        <v>865</v>
      </c>
      <c r="B43" s="7" t="s">
        <v>866</v>
      </c>
      <c r="C43" s="8">
        <v>2</v>
      </c>
      <c r="D43" s="9">
        <v>43.98</v>
      </c>
      <c r="E43" s="8" t="s">
        <v>867</v>
      </c>
      <c r="F43" s="7" t="s">
        <v>2446</v>
      </c>
      <c r="G43" s="10" t="s">
        <v>822</v>
      </c>
      <c r="H43" s="7" t="s">
        <v>2391</v>
      </c>
      <c r="I43" s="7" t="s">
        <v>2926</v>
      </c>
      <c r="J43" s="7" t="s">
        <v>2363</v>
      </c>
      <c r="K43" s="7" t="s">
        <v>2371</v>
      </c>
      <c r="L43" s="11" t="str">
        <f>HYPERLINK("http://slimages.macys.com/is/image/MCY/12242359 ")</f>
        <v xml:space="preserve">http://slimages.macys.com/is/image/MCY/12242359 </v>
      </c>
    </row>
    <row r="44" spans="1:12" ht="39.950000000000003" customHeight="1" x14ac:dyDescent="0.25">
      <c r="A44" s="6" t="s">
        <v>868</v>
      </c>
      <c r="B44" s="7" t="s">
        <v>869</v>
      </c>
      <c r="C44" s="8">
        <v>1</v>
      </c>
      <c r="D44" s="9">
        <v>13.99</v>
      </c>
      <c r="E44" s="8" t="s">
        <v>870</v>
      </c>
      <c r="F44" s="7" t="s">
        <v>2355</v>
      </c>
      <c r="G44" s="10"/>
      <c r="H44" s="7" t="s">
        <v>2391</v>
      </c>
      <c r="I44" s="7" t="s">
        <v>2550</v>
      </c>
      <c r="J44" s="7" t="s">
        <v>2363</v>
      </c>
      <c r="K44" s="7" t="s">
        <v>2385</v>
      </c>
      <c r="L44" s="11" t="str">
        <f>HYPERLINK("http://slimages.macys.com/is/image/MCY/935272 ")</f>
        <v xml:space="preserve">http://slimages.macys.com/is/image/MCY/935272 </v>
      </c>
    </row>
    <row r="45" spans="1:12" ht="39.950000000000003" customHeight="1" x14ac:dyDescent="0.25">
      <c r="A45" s="6" t="s">
        <v>871</v>
      </c>
      <c r="B45" s="7" t="s">
        <v>872</v>
      </c>
      <c r="C45" s="8">
        <v>8</v>
      </c>
      <c r="D45" s="9">
        <v>95.92</v>
      </c>
      <c r="E45" s="8" t="s">
        <v>873</v>
      </c>
      <c r="F45" s="7" t="s">
        <v>2355</v>
      </c>
      <c r="G45" s="10"/>
      <c r="H45" s="7" t="s">
        <v>2391</v>
      </c>
      <c r="I45" s="7" t="s">
        <v>2550</v>
      </c>
      <c r="J45" s="7" t="s">
        <v>2363</v>
      </c>
      <c r="K45" s="7" t="s">
        <v>2385</v>
      </c>
      <c r="L45" s="11" t="str">
        <f>HYPERLINK("http://slimages.macys.com/is/image/MCY/935272 ")</f>
        <v xml:space="preserve">http://slimages.macys.com/is/image/MCY/935272 </v>
      </c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  <row r="57" spans="1:12" ht="39.950000000000003" customHeight="1" x14ac:dyDescent="0.25">
      <c r="A57" s="6"/>
      <c r="B57" s="7"/>
      <c r="C57" s="8"/>
      <c r="D57" s="9"/>
      <c r="E57" s="8"/>
      <c r="F57" s="7"/>
      <c r="G57" s="10"/>
      <c r="H57" s="7"/>
      <c r="I57" s="7"/>
      <c r="J57" s="7"/>
      <c r="K57" s="7"/>
      <c r="L57" s="11"/>
    </row>
    <row r="58" spans="1:12" ht="39.950000000000003" customHeight="1" x14ac:dyDescent="0.25">
      <c r="A58" s="6"/>
      <c r="B58" s="7"/>
      <c r="C58" s="8"/>
      <c r="D58" s="9"/>
      <c r="E58" s="8"/>
      <c r="F58" s="7"/>
      <c r="G58" s="10"/>
      <c r="H58" s="7"/>
      <c r="I58" s="7"/>
      <c r="J58" s="7"/>
      <c r="K58" s="7"/>
      <c r="L58" s="11"/>
    </row>
    <row r="59" spans="1:12" ht="39.950000000000003" customHeight="1" x14ac:dyDescent="0.25">
      <c r="A59" s="6"/>
      <c r="B59" s="7"/>
      <c r="C59" s="8"/>
      <c r="D59" s="9"/>
      <c r="E59" s="8"/>
      <c r="F59" s="7"/>
      <c r="G59" s="10"/>
      <c r="H59" s="7"/>
      <c r="I59" s="7"/>
      <c r="J59" s="7"/>
      <c r="K59" s="7"/>
      <c r="L59" s="11"/>
    </row>
    <row r="60" spans="1:12" ht="39.950000000000003" customHeight="1" x14ac:dyDescent="0.25">
      <c r="A60" s="6"/>
      <c r="B60" s="7"/>
      <c r="C60" s="8"/>
      <c r="D60" s="9"/>
      <c r="E60" s="8"/>
      <c r="F60" s="7"/>
      <c r="G60" s="10"/>
      <c r="H60" s="7"/>
      <c r="I60" s="7"/>
      <c r="J60" s="7"/>
      <c r="K60" s="7"/>
      <c r="L60" s="11"/>
    </row>
    <row r="61" spans="1:12" ht="39.950000000000003" customHeight="1" x14ac:dyDescent="0.25">
      <c r="A61" s="6"/>
      <c r="B61" s="7"/>
      <c r="C61" s="8"/>
      <c r="D61" s="9"/>
      <c r="E61" s="8"/>
      <c r="F61" s="7"/>
      <c r="G61" s="10"/>
      <c r="H61" s="7"/>
      <c r="I61" s="7"/>
      <c r="J61" s="7"/>
      <c r="K61" s="7"/>
      <c r="L61" s="11"/>
    </row>
    <row r="62" spans="1:12" ht="39.950000000000003" customHeight="1" x14ac:dyDescent="0.25">
      <c r="A62" s="6"/>
      <c r="B62" s="7"/>
      <c r="C62" s="8"/>
      <c r="D62" s="9"/>
      <c r="E62" s="8"/>
      <c r="F62" s="7"/>
      <c r="G62" s="10"/>
      <c r="H62" s="7"/>
      <c r="I62" s="7"/>
      <c r="J62" s="7"/>
      <c r="K62" s="7"/>
      <c r="L62" s="11"/>
    </row>
    <row r="63" spans="1:12" ht="39.950000000000003" customHeight="1" x14ac:dyDescent="0.25">
      <c r="A63" s="6"/>
      <c r="B63" s="7"/>
      <c r="C63" s="8"/>
      <c r="D63" s="9"/>
      <c r="E63" s="8"/>
      <c r="F63" s="7"/>
      <c r="G63" s="10"/>
      <c r="H63" s="7"/>
      <c r="I63" s="7"/>
      <c r="J63" s="7"/>
      <c r="K63" s="7"/>
      <c r="L63" s="11"/>
    </row>
    <row r="64" spans="1:12" ht="39.950000000000003" customHeight="1" x14ac:dyDescent="0.25">
      <c r="A64" s="6"/>
      <c r="B64" s="7"/>
      <c r="C64" s="8"/>
      <c r="D64" s="9"/>
      <c r="E64" s="8"/>
      <c r="F64" s="7"/>
      <c r="G64" s="10"/>
      <c r="H64" s="7"/>
      <c r="I64" s="7"/>
      <c r="J64" s="7"/>
      <c r="K64" s="7"/>
      <c r="L64" s="11"/>
    </row>
  </sheetData>
  <phoneticPr fontId="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81"/>
  <sheetViews>
    <sheetView workbookViewId="0">
      <selection activeCell="B44" sqref="B44"/>
    </sheetView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2350</v>
      </c>
      <c r="I1" s="5" t="s">
        <v>2351</v>
      </c>
      <c r="J1" s="5" t="s">
        <v>2352</v>
      </c>
      <c r="K1" s="5" t="s">
        <v>2353</v>
      </c>
      <c r="L1" s="5" t="s">
        <v>2354</v>
      </c>
    </row>
    <row r="2" spans="1:12" ht="39.950000000000003" customHeight="1" x14ac:dyDescent="0.25">
      <c r="A2" s="6" t="s">
        <v>2962</v>
      </c>
      <c r="B2" s="7" t="s">
        <v>2963</v>
      </c>
      <c r="C2" s="8">
        <v>1</v>
      </c>
      <c r="D2" s="9">
        <v>299.99</v>
      </c>
      <c r="E2" s="8" t="s">
        <v>2964</v>
      </c>
      <c r="F2" s="7" t="s">
        <v>2475</v>
      </c>
      <c r="G2" s="10"/>
      <c r="H2" s="7" t="s">
        <v>2357</v>
      </c>
      <c r="I2" s="7" t="s">
        <v>2593</v>
      </c>
      <c r="J2" s="7" t="s">
        <v>2363</v>
      </c>
      <c r="K2" s="7"/>
      <c r="L2" s="11" t="str">
        <f>HYPERLINK("http://slimages.macys.com/is/image/MCY/10467368 ")</f>
        <v xml:space="preserve">http://slimages.macys.com/is/image/MCY/10467368 </v>
      </c>
    </row>
    <row r="3" spans="1:12" ht="39.950000000000003" customHeight="1" x14ac:dyDescent="0.25">
      <c r="A3" s="6" t="s">
        <v>2991</v>
      </c>
      <c r="B3" s="7" t="s">
        <v>2992</v>
      </c>
      <c r="C3" s="8">
        <v>1</v>
      </c>
      <c r="D3" s="9">
        <v>279.99</v>
      </c>
      <c r="E3" s="8" t="s">
        <v>2993</v>
      </c>
      <c r="F3" s="7" t="s">
        <v>2362</v>
      </c>
      <c r="G3" s="10"/>
      <c r="H3" s="7" t="s">
        <v>2357</v>
      </c>
      <c r="I3" s="7" t="s">
        <v>2593</v>
      </c>
      <c r="J3" s="7" t="s">
        <v>2363</v>
      </c>
      <c r="K3" s="7" t="s">
        <v>2994</v>
      </c>
      <c r="L3" s="11" t="str">
        <f>HYPERLINK("http://slimages.macys.com/is/image/MCY/15767044 ")</f>
        <v xml:space="preserve">http://slimages.macys.com/is/image/MCY/15767044 </v>
      </c>
    </row>
    <row r="4" spans="1:12" ht="39.950000000000003" customHeight="1" x14ac:dyDescent="0.25">
      <c r="A4" s="6" t="s">
        <v>874</v>
      </c>
      <c r="B4" s="7" t="s">
        <v>2992</v>
      </c>
      <c r="C4" s="8">
        <v>1</v>
      </c>
      <c r="D4" s="9">
        <v>229.99</v>
      </c>
      <c r="E4" s="8" t="s">
        <v>875</v>
      </c>
      <c r="F4" s="7" t="s">
        <v>2362</v>
      </c>
      <c r="G4" s="10"/>
      <c r="H4" s="7" t="s">
        <v>2357</v>
      </c>
      <c r="I4" s="7" t="s">
        <v>2593</v>
      </c>
      <c r="J4" s="7" t="s">
        <v>2363</v>
      </c>
      <c r="K4" s="7" t="s">
        <v>876</v>
      </c>
      <c r="L4" s="11" t="str">
        <f>HYPERLINK("http://slimages.macys.com/is/image/MCY/15767048 ")</f>
        <v xml:space="preserve">http://slimages.macys.com/is/image/MCY/15767048 </v>
      </c>
    </row>
    <row r="5" spans="1:12" ht="39.950000000000003" customHeight="1" x14ac:dyDescent="0.25">
      <c r="A5" s="6" t="s">
        <v>2965</v>
      </c>
      <c r="B5" s="7" t="s">
        <v>2966</v>
      </c>
      <c r="C5" s="8">
        <v>1</v>
      </c>
      <c r="D5" s="9">
        <v>279.99</v>
      </c>
      <c r="E5" s="8" t="s">
        <v>2967</v>
      </c>
      <c r="F5" s="7" t="s">
        <v>2362</v>
      </c>
      <c r="G5" s="10"/>
      <c r="H5" s="7" t="s">
        <v>2357</v>
      </c>
      <c r="I5" s="7" t="s">
        <v>2593</v>
      </c>
      <c r="J5" s="7" t="s">
        <v>2363</v>
      </c>
      <c r="K5" s="7" t="s">
        <v>2594</v>
      </c>
      <c r="L5" s="11" t="str">
        <f>HYPERLINK("http://slimages.macys.com/is/image/MCY/15767044 ")</f>
        <v xml:space="preserve">http://slimages.macys.com/is/image/MCY/15767044 </v>
      </c>
    </row>
    <row r="6" spans="1:12" ht="39.950000000000003" customHeight="1" x14ac:dyDescent="0.25">
      <c r="A6" s="6" t="s">
        <v>877</v>
      </c>
      <c r="B6" s="7" t="s">
        <v>878</v>
      </c>
      <c r="C6" s="8">
        <v>1</v>
      </c>
      <c r="D6" s="9">
        <v>159.99</v>
      </c>
      <c r="E6" s="8" t="s">
        <v>879</v>
      </c>
      <c r="F6" s="7" t="s">
        <v>2435</v>
      </c>
      <c r="G6" s="10"/>
      <c r="H6" s="7" t="s">
        <v>2391</v>
      </c>
      <c r="I6" s="7" t="s">
        <v>880</v>
      </c>
      <c r="J6" s="7" t="s">
        <v>2363</v>
      </c>
      <c r="K6" s="7" t="s">
        <v>2385</v>
      </c>
      <c r="L6" s="11" t="str">
        <f>HYPERLINK("http://slimages.macys.com/is/image/MCY/16229780 ")</f>
        <v xml:space="preserve">http://slimages.macys.com/is/image/MCY/16229780 </v>
      </c>
    </row>
    <row r="7" spans="1:12" ht="39.950000000000003" customHeight="1" x14ac:dyDescent="0.25">
      <c r="A7" s="6" t="s">
        <v>881</v>
      </c>
      <c r="B7" s="7" t="s">
        <v>882</v>
      </c>
      <c r="C7" s="8">
        <v>1</v>
      </c>
      <c r="D7" s="9">
        <v>199.99</v>
      </c>
      <c r="E7" s="8" t="s">
        <v>883</v>
      </c>
      <c r="F7" s="7" t="s">
        <v>2446</v>
      </c>
      <c r="G7" s="10"/>
      <c r="H7" s="7" t="s">
        <v>2422</v>
      </c>
      <c r="I7" s="7" t="s">
        <v>2423</v>
      </c>
      <c r="J7" s="7" t="s">
        <v>2363</v>
      </c>
      <c r="K7" s="7" t="s">
        <v>884</v>
      </c>
      <c r="L7" s="11" t="str">
        <f>HYPERLINK("http://slimages.macys.com/is/image/MCY/12896128 ")</f>
        <v xml:space="preserve">http://slimages.macys.com/is/image/MCY/12896128 </v>
      </c>
    </row>
    <row r="8" spans="1:12" ht="39.950000000000003" customHeight="1" x14ac:dyDescent="0.25">
      <c r="A8" s="6" t="s">
        <v>2120</v>
      </c>
      <c r="B8" s="7" t="s">
        <v>2121</v>
      </c>
      <c r="C8" s="8">
        <v>1</v>
      </c>
      <c r="D8" s="9">
        <v>179.99</v>
      </c>
      <c r="E8" s="8">
        <v>22328222</v>
      </c>
      <c r="F8" s="7" t="s">
        <v>2368</v>
      </c>
      <c r="G8" s="10"/>
      <c r="H8" s="7" t="s">
        <v>2369</v>
      </c>
      <c r="I8" s="7" t="s">
        <v>2370</v>
      </c>
      <c r="J8" s="7"/>
      <c r="K8" s="7"/>
      <c r="L8" s="11" t="str">
        <f>HYPERLINK("http://slimages.macys.com/is/image/MCY/17257893 ")</f>
        <v xml:space="preserve">http://slimages.macys.com/is/image/MCY/17257893 </v>
      </c>
    </row>
    <row r="9" spans="1:12" ht="39.950000000000003" customHeight="1" x14ac:dyDescent="0.25">
      <c r="A9" s="6" t="s">
        <v>885</v>
      </c>
      <c r="B9" s="7" t="s">
        <v>886</v>
      </c>
      <c r="C9" s="8">
        <v>1</v>
      </c>
      <c r="D9" s="9">
        <v>169.99</v>
      </c>
      <c r="E9" s="8" t="s">
        <v>887</v>
      </c>
      <c r="F9" s="7" t="s">
        <v>2355</v>
      </c>
      <c r="G9" s="10"/>
      <c r="H9" s="7" t="s">
        <v>2545</v>
      </c>
      <c r="I9" s="7" t="s">
        <v>2414</v>
      </c>
      <c r="J9" s="7" t="s">
        <v>2363</v>
      </c>
      <c r="K9" s="7" t="s">
        <v>2702</v>
      </c>
      <c r="L9" s="11" t="str">
        <f>HYPERLINK("http://slimages.macys.com/is/image/MCY/11935772 ")</f>
        <v xml:space="preserve">http://slimages.macys.com/is/image/MCY/11935772 </v>
      </c>
    </row>
    <row r="10" spans="1:12" ht="39.950000000000003" customHeight="1" x14ac:dyDescent="0.25">
      <c r="A10" s="6" t="s">
        <v>2888</v>
      </c>
      <c r="B10" s="7" t="s">
        <v>2889</v>
      </c>
      <c r="C10" s="8">
        <v>1</v>
      </c>
      <c r="D10" s="9">
        <v>97.99</v>
      </c>
      <c r="E10" s="8" t="s">
        <v>2890</v>
      </c>
      <c r="F10" s="7" t="s">
        <v>2505</v>
      </c>
      <c r="G10" s="10"/>
      <c r="H10" s="7" t="s">
        <v>2535</v>
      </c>
      <c r="I10" s="7" t="s">
        <v>2891</v>
      </c>
      <c r="J10" s="7" t="s">
        <v>2363</v>
      </c>
      <c r="K10" s="7" t="s">
        <v>2892</v>
      </c>
      <c r="L10" s="11" t="str">
        <f>HYPERLINK("http://slimages.macys.com/is/image/MCY/15198973 ")</f>
        <v xml:space="preserve">http://slimages.macys.com/is/image/MCY/15198973 </v>
      </c>
    </row>
    <row r="11" spans="1:12" ht="39.950000000000003" customHeight="1" x14ac:dyDescent="0.25">
      <c r="A11" s="6" t="s">
        <v>888</v>
      </c>
      <c r="B11" s="7" t="s">
        <v>889</v>
      </c>
      <c r="C11" s="8">
        <v>1</v>
      </c>
      <c r="D11" s="9">
        <v>104.99</v>
      </c>
      <c r="E11" s="8" t="s">
        <v>890</v>
      </c>
      <c r="F11" s="7" t="s">
        <v>2355</v>
      </c>
      <c r="G11" s="10"/>
      <c r="H11" s="7" t="s">
        <v>2447</v>
      </c>
      <c r="I11" s="7" t="s">
        <v>2448</v>
      </c>
      <c r="J11" s="7" t="s">
        <v>2363</v>
      </c>
      <c r="K11" s="7"/>
      <c r="L11" s="11" t="str">
        <f>HYPERLINK("http://slimages.macys.com/is/image/MCY/9433048 ")</f>
        <v xml:space="preserve">http://slimages.macys.com/is/image/MCY/9433048 </v>
      </c>
    </row>
    <row r="12" spans="1:12" ht="39.950000000000003" customHeight="1" x14ac:dyDescent="0.25">
      <c r="A12" s="6" t="s">
        <v>2685</v>
      </c>
      <c r="B12" s="7" t="s">
        <v>2686</v>
      </c>
      <c r="C12" s="8">
        <v>1</v>
      </c>
      <c r="D12" s="9">
        <v>78.11</v>
      </c>
      <c r="E12" s="8" t="s">
        <v>2575</v>
      </c>
      <c r="F12" s="7"/>
      <c r="G12" s="10"/>
      <c r="H12" s="7" t="s">
        <v>2396</v>
      </c>
      <c r="I12" s="7" t="s">
        <v>2576</v>
      </c>
      <c r="J12" s="7" t="s">
        <v>2363</v>
      </c>
      <c r="K12" s="7"/>
      <c r="L12" s="11" t="str">
        <f>HYPERLINK("http://slimages.macys.com/is/image/MCY/10015969 ")</f>
        <v xml:space="preserve">http://slimages.macys.com/is/image/MCY/10015969 </v>
      </c>
    </row>
    <row r="13" spans="1:12" ht="39.950000000000003" customHeight="1" x14ac:dyDescent="0.25">
      <c r="A13" s="6" t="s">
        <v>891</v>
      </c>
      <c r="B13" s="7" t="s">
        <v>892</v>
      </c>
      <c r="C13" s="8">
        <v>1</v>
      </c>
      <c r="D13" s="9">
        <v>119.99</v>
      </c>
      <c r="E13" s="8" t="s">
        <v>893</v>
      </c>
      <c r="F13" s="7" t="s">
        <v>2477</v>
      </c>
      <c r="G13" s="10"/>
      <c r="H13" s="7" t="s">
        <v>2729</v>
      </c>
      <c r="I13" s="7" t="s">
        <v>2730</v>
      </c>
      <c r="J13" s="7" t="s">
        <v>2363</v>
      </c>
      <c r="K13" s="7" t="s">
        <v>2421</v>
      </c>
      <c r="L13" s="11" t="str">
        <f>HYPERLINK("http://slimages.macys.com/is/image/MCY/14447303 ")</f>
        <v xml:space="preserve">http://slimages.macys.com/is/image/MCY/14447303 </v>
      </c>
    </row>
    <row r="14" spans="1:12" ht="39.950000000000003" customHeight="1" x14ac:dyDescent="0.25">
      <c r="A14" s="6" t="s">
        <v>894</v>
      </c>
      <c r="B14" s="7" t="s">
        <v>895</v>
      </c>
      <c r="C14" s="8">
        <v>1</v>
      </c>
      <c r="D14" s="9">
        <v>99.99</v>
      </c>
      <c r="E14" s="8" t="s">
        <v>896</v>
      </c>
      <c r="F14" s="7" t="s">
        <v>2368</v>
      </c>
      <c r="G14" s="10"/>
      <c r="H14" s="7" t="s">
        <v>2422</v>
      </c>
      <c r="I14" s="7" t="s">
        <v>897</v>
      </c>
      <c r="J14" s="7" t="s">
        <v>2363</v>
      </c>
      <c r="K14" s="7" t="s">
        <v>898</v>
      </c>
      <c r="L14" s="11" t="str">
        <f>HYPERLINK("http://slimages.macys.com/is/image/MCY/15213706 ")</f>
        <v xml:space="preserve">http://slimages.macys.com/is/image/MCY/15213706 </v>
      </c>
    </row>
    <row r="15" spans="1:12" ht="39.950000000000003" customHeight="1" x14ac:dyDescent="0.25">
      <c r="A15" s="6" t="s">
        <v>2393</v>
      </c>
      <c r="B15" s="7" t="s">
        <v>2394</v>
      </c>
      <c r="C15" s="8">
        <v>1</v>
      </c>
      <c r="D15" s="9">
        <v>119.99</v>
      </c>
      <c r="E15" s="8" t="s">
        <v>2395</v>
      </c>
      <c r="F15" s="7" t="s">
        <v>2355</v>
      </c>
      <c r="G15" s="10"/>
      <c r="H15" s="7" t="s">
        <v>2396</v>
      </c>
      <c r="I15" s="7" t="s">
        <v>2397</v>
      </c>
      <c r="J15" s="7" t="s">
        <v>2363</v>
      </c>
      <c r="K15" s="7" t="s">
        <v>2398</v>
      </c>
      <c r="L15" s="11" t="str">
        <f>HYPERLINK("http://slimages.macys.com/is/image/MCY/8433239 ")</f>
        <v xml:space="preserve">http://slimages.macys.com/is/image/MCY/8433239 </v>
      </c>
    </row>
    <row r="16" spans="1:12" ht="39.950000000000003" customHeight="1" x14ac:dyDescent="0.25">
      <c r="A16" s="6" t="s">
        <v>899</v>
      </c>
      <c r="B16" s="7" t="s">
        <v>900</v>
      </c>
      <c r="C16" s="8">
        <v>1</v>
      </c>
      <c r="D16" s="9">
        <v>99.99</v>
      </c>
      <c r="E16" s="8" t="s">
        <v>901</v>
      </c>
      <c r="F16" s="7" t="s">
        <v>2368</v>
      </c>
      <c r="G16" s="10"/>
      <c r="H16" s="7" t="s">
        <v>2375</v>
      </c>
      <c r="I16" s="7" t="s">
        <v>2376</v>
      </c>
      <c r="J16" s="7"/>
      <c r="K16" s="7"/>
      <c r="L16" s="11" t="str">
        <f>HYPERLINK("http://slimages.macys.com/is/image/MCY/17440187 ")</f>
        <v xml:space="preserve">http://slimages.macys.com/is/image/MCY/17440187 </v>
      </c>
    </row>
    <row r="17" spans="1:12" ht="39.950000000000003" customHeight="1" x14ac:dyDescent="0.25">
      <c r="A17" s="6" t="s">
        <v>2834</v>
      </c>
      <c r="B17" s="7" t="s">
        <v>2835</v>
      </c>
      <c r="C17" s="8">
        <v>1</v>
      </c>
      <c r="D17" s="9">
        <v>99.99</v>
      </c>
      <c r="E17" s="8" t="s">
        <v>2836</v>
      </c>
      <c r="F17" s="7" t="s">
        <v>2436</v>
      </c>
      <c r="G17" s="10"/>
      <c r="H17" s="7" t="s">
        <v>2396</v>
      </c>
      <c r="I17" s="7" t="s">
        <v>2397</v>
      </c>
      <c r="J17" s="7" t="s">
        <v>2363</v>
      </c>
      <c r="K17" s="7" t="s">
        <v>2398</v>
      </c>
      <c r="L17" s="11" t="str">
        <f>HYPERLINK("http://slimages.macys.com/is/image/MCY/11607139 ")</f>
        <v xml:space="preserve">http://slimages.macys.com/is/image/MCY/11607139 </v>
      </c>
    </row>
    <row r="18" spans="1:12" ht="39.950000000000003" customHeight="1" x14ac:dyDescent="0.25">
      <c r="A18" s="6" t="s">
        <v>2837</v>
      </c>
      <c r="B18" s="7" t="s">
        <v>2580</v>
      </c>
      <c r="C18" s="8">
        <v>1</v>
      </c>
      <c r="D18" s="9">
        <v>99.99</v>
      </c>
      <c r="E18" s="8" t="s">
        <v>2838</v>
      </c>
      <c r="F18" s="7" t="s">
        <v>2355</v>
      </c>
      <c r="G18" s="10"/>
      <c r="H18" s="7" t="s">
        <v>2396</v>
      </c>
      <c r="I18" s="7" t="s">
        <v>2397</v>
      </c>
      <c r="J18" s="7" t="s">
        <v>2363</v>
      </c>
      <c r="K18" s="7" t="s">
        <v>2398</v>
      </c>
      <c r="L18" s="11" t="str">
        <f>HYPERLINK("http://slimages.macys.com/is/image/MCY/11607139 ")</f>
        <v xml:space="preserve">http://slimages.macys.com/is/image/MCY/11607139 </v>
      </c>
    </row>
    <row r="19" spans="1:12" ht="39.950000000000003" customHeight="1" x14ac:dyDescent="0.25">
      <c r="A19" s="6" t="s">
        <v>2689</v>
      </c>
      <c r="B19" s="7" t="s">
        <v>2690</v>
      </c>
      <c r="C19" s="8">
        <v>1</v>
      </c>
      <c r="D19" s="9">
        <v>99.99</v>
      </c>
      <c r="E19" s="8" t="s">
        <v>2691</v>
      </c>
      <c r="F19" s="7" t="s">
        <v>2436</v>
      </c>
      <c r="G19" s="10"/>
      <c r="H19" s="7" t="s">
        <v>2396</v>
      </c>
      <c r="I19" s="7" t="s">
        <v>2397</v>
      </c>
      <c r="J19" s="7" t="s">
        <v>2363</v>
      </c>
      <c r="K19" s="7" t="s">
        <v>2402</v>
      </c>
      <c r="L19" s="11" t="str">
        <f>HYPERLINK("http://slimages.macys.com/is/image/MCY/8433239 ")</f>
        <v xml:space="preserve">http://slimages.macys.com/is/image/MCY/8433239 </v>
      </c>
    </row>
    <row r="20" spans="1:12" ht="39.950000000000003" customHeight="1" x14ac:dyDescent="0.25">
      <c r="A20" s="6" t="s">
        <v>902</v>
      </c>
      <c r="B20" s="7" t="s">
        <v>903</v>
      </c>
      <c r="C20" s="8">
        <v>1</v>
      </c>
      <c r="D20" s="9">
        <v>89.99</v>
      </c>
      <c r="E20" s="8" t="s">
        <v>904</v>
      </c>
      <c r="F20" s="7"/>
      <c r="G20" s="10"/>
      <c r="H20" s="7" t="s">
        <v>2369</v>
      </c>
      <c r="I20" s="7" t="s">
        <v>2431</v>
      </c>
      <c r="J20" s="7" t="s">
        <v>2363</v>
      </c>
      <c r="K20" s="7" t="s">
        <v>2385</v>
      </c>
      <c r="L20" s="11" t="str">
        <f>HYPERLINK("http://slimages.macys.com/is/image/MCY/8962717 ")</f>
        <v xml:space="preserve">http://slimages.macys.com/is/image/MCY/8962717 </v>
      </c>
    </row>
    <row r="21" spans="1:12" ht="39.950000000000003" customHeight="1" x14ac:dyDescent="0.25">
      <c r="A21" s="6" t="s">
        <v>905</v>
      </c>
      <c r="B21" s="7" t="s">
        <v>906</v>
      </c>
      <c r="C21" s="8">
        <v>1</v>
      </c>
      <c r="D21" s="9">
        <v>99.99</v>
      </c>
      <c r="E21" s="8" t="s">
        <v>907</v>
      </c>
      <c r="F21" s="7" t="s">
        <v>3009</v>
      </c>
      <c r="G21" s="10"/>
      <c r="H21" s="7" t="s">
        <v>2486</v>
      </c>
      <c r="I21" s="7" t="s">
        <v>2585</v>
      </c>
      <c r="J21" s="7" t="s">
        <v>2363</v>
      </c>
      <c r="K21" s="7" t="s">
        <v>1364</v>
      </c>
      <c r="L21" s="11" t="str">
        <f>HYPERLINK("http://slimages.macys.com/is/image/MCY/16534014 ")</f>
        <v xml:space="preserve">http://slimages.macys.com/is/image/MCY/16534014 </v>
      </c>
    </row>
    <row r="22" spans="1:12" ht="39.950000000000003" customHeight="1" x14ac:dyDescent="0.25">
      <c r="A22" s="6" t="s">
        <v>908</v>
      </c>
      <c r="B22" s="7" t="s">
        <v>909</v>
      </c>
      <c r="C22" s="8">
        <v>1</v>
      </c>
      <c r="D22" s="9">
        <v>71.989999999999995</v>
      </c>
      <c r="E22" s="8" t="s">
        <v>910</v>
      </c>
      <c r="F22" s="7" t="s">
        <v>2435</v>
      </c>
      <c r="G22" s="10"/>
      <c r="H22" s="7" t="s">
        <v>2387</v>
      </c>
      <c r="I22" s="7" t="s">
        <v>1803</v>
      </c>
      <c r="J22" s="7" t="s">
        <v>2363</v>
      </c>
      <c r="K22" s="7" t="s">
        <v>911</v>
      </c>
      <c r="L22" s="11" t="str">
        <f>HYPERLINK("http://slimages.macys.com/is/image/MCY/11469118 ")</f>
        <v xml:space="preserve">http://slimages.macys.com/is/image/MCY/11469118 </v>
      </c>
    </row>
    <row r="23" spans="1:12" ht="39.950000000000003" customHeight="1" x14ac:dyDescent="0.25">
      <c r="A23" s="6" t="s">
        <v>912</v>
      </c>
      <c r="B23" s="7" t="s">
        <v>913</v>
      </c>
      <c r="C23" s="8">
        <v>1</v>
      </c>
      <c r="D23" s="9">
        <v>129.99</v>
      </c>
      <c r="E23" s="8" t="s">
        <v>914</v>
      </c>
      <c r="F23" s="7" t="s">
        <v>2436</v>
      </c>
      <c r="G23" s="10"/>
      <c r="H23" s="7" t="s">
        <v>2396</v>
      </c>
      <c r="I23" s="7" t="s">
        <v>2397</v>
      </c>
      <c r="J23" s="7" t="s">
        <v>2363</v>
      </c>
      <c r="K23" s="7" t="s">
        <v>2491</v>
      </c>
      <c r="L23" s="11" t="str">
        <f>HYPERLINK("http://slimages.macys.com/is/image/MCY/15862594 ")</f>
        <v xml:space="preserve">http://slimages.macys.com/is/image/MCY/15862594 </v>
      </c>
    </row>
    <row r="24" spans="1:12" ht="39.950000000000003" customHeight="1" x14ac:dyDescent="0.25">
      <c r="A24" s="6" t="s">
        <v>915</v>
      </c>
      <c r="B24" s="7" t="s">
        <v>916</v>
      </c>
      <c r="C24" s="8">
        <v>1</v>
      </c>
      <c r="D24" s="9">
        <v>129.99</v>
      </c>
      <c r="E24" s="8" t="s">
        <v>917</v>
      </c>
      <c r="F24" s="7" t="s">
        <v>2454</v>
      </c>
      <c r="G24" s="10"/>
      <c r="H24" s="7" t="s">
        <v>2396</v>
      </c>
      <c r="I24" s="7" t="s">
        <v>2397</v>
      </c>
      <c r="J24" s="7" t="s">
        <v>2363</v>
      </c>
      <c r="K24" s="7" t="s">
        <v>2402</v>
      </c>
      <c r="L24" s="11" t="str">
        <f>HYPERLINK("http://slimages.macys.com/is/image/MCY/8515138 ")</f>
        <v xml:space="preserve">http://slimages.macys.com/is/image/MCY/8515138 </v>
      </c>
    </row>
    <row r="25" spans="1:12" ht="39.950000000000003" customHeight="1" x14ac:dyDescent="0.25">
      <c r="A25" s="6" t="s">
        <v>1904</v>
      </c>
      <c r="B25" s="7" t="s">
        <v>1905</v>
      </c>
      <c r="C25" s="8">
        <v>1</v>
      </c>
      <c r="D25" s="9">
        <v>78.11</v>
      </c>
      <c r="E25" s="8" t="s">
        <v>1906</v>
      </c>
      <c r="F25" s="7"/>
      <c r="G25" s="10"/>
      <c r="H25" s="7" t="s">
        <v>2545</v>
      </c>
      <c r="I25" s="7" t="s">
        <v>1907</v>
      </c>
      <c r="J25" s="7"/>
      <c r="K25" s="7"/>
      <c r="L25" s="11" t="str">
        <f>HYPERLINK("http://slimages.macys.com/is/image/MCY/17594680 ")</f>
        <v xml:space="preserve">http://slimages.macys.com/is/image/MCY/17594680 </v>
      </c>
    </row>
    <row r="26" spans="1:12" ht="39.950000000000003" customHeight="1" x14ac:dyDescent="0.25">
      <c r="A26" s="6" t="s">
        <v>918</v>
      </c>
      <c r="B26" s="7" t="s">
        <v>919</v>
      </c>
      <c r="C26" s="8">
        <v>1</v>
      </c>
      <c r="D26" s="9">
        <v>109.99</v>
      </c>
      <c r="E26" s="8" t="s">
        <v>1910</v>
      </c>
      <c r="F26" s="7" t="s">
        <v>2475</v>
      </c>
      <c r="G26" s="10"/>
      <c r="H26" s="7" t="s">
        <v>2535</v>
      </c>
      <c r="I26" s="7" t="s">
        <v>3043</v>
      </c>
      <c r="J26" s="7" t="s">
        <v>2363</v>
      </c>
      <c r="K26" s="7" t="s">
        <v>2782</v>
      </c>
      <c r="L26" s="11" t="str">
        <f>HYPERLINK("http://slimages.macys.com/is/image/MCY/15144360 ")</f>
        <v xml:space="preserve">http://slimages.macys.com/is/image/MCY/15144360 </v>
      </c>
    </row>
    <row r="27" spans="1:12" ht="39.950000000000003" customHeight="1" x14ac:dyDescent="0.25">
      <c r="A27" s="6" t="s">
        <v>920</v>
      </c>
      <c r="B27" s="7" t="s">
        <v>921</v>
      </c>
      <c r="C27" s="8">
        <v>1</v>
      </c>
      <c r="D27" s="9">
        <v>99.99</v>
      </c>
      <c r="E27" s="8" t="s">
        <v>922</v>
      </c>
      <c r="F27" s="7" t="s">
        <v>2475</v>
      </c>
      <c r="G27" s="10"/>
      <c r="H27" s="7" t="s">
        <v>2391</v>
      </c>
      <c r="I27" s="7" t="s">
        <v>2674</v>
      </c>
      <c r="J27" s="7"/>
      <c r="K27" s="7"/>
      <c r="L27" s="11" t="str">
        <f>HYPERLINK("http://slimages.macys.com/is/image/MCY/17319707 ")</f>
        <v xml:space="preserve">http://slimages.macys.com/is/image/MCY/17319707 </v>
      </c>
    </row>
    <row r="28" spans="1:12" ht="39.950000000000003" customHeight="1" x14ac:dyDescent="0.25">
      <c r="A28" s="6" t="s">
        <v>923</v>
      </c>
      <c r="B28" s="7" t="s">
        <v>924</v>
      </c>
      <c r="C28" s="8">
        <v>1</v>
      </c>
      <c r="D28" s="9">
        <v>49.99</v>
      </c>
      <c r="E28" s="8">
        <v>21345338</v>
      </c>
      <c r="F28" s="7" t="s">
        <v>2368</v>
      </c>
      <c r="G28" s="10"/>
      <c r="H28" s="7" t="s">
        <v>2387</v>
      </c>
      <c r="I28" s="7" t="s">
        <v>2370</v>
      </c>
      <c r="J28" s="7" t="s">
        <v>2363</v>
      </c>
      <c r="K28" s="7" t="s">
        <v>2405</v>
      </c>
      <c r="L28" s="11" t="str">
        <f>HYPERLINK("http://slimages.macys.com/is/image/MCY/15010367 ")</f>
        <v xml:space="preserve">http://slimages.macys.com/is/image/MCY/15010367 </v>
      </c>
    </row>
    <row r="29" spans="1:12" ht="39.950000000000003" customHeight="1" x14ac:dyDescent="0.25">
      <c r="A29" s="6" t="s">
        <v>925</v>
      </c>
      <c r="B29" s="7" t="s">
        <v>926</v>
      </c>
      <c r="C29" s="8">
        <v>1</v>
      </c>
      <c r="D29" s="9">
        <v>99.99</v>
      </c>
      <c r="E29" s="8" t="s">
        <v>927</v>
      </c>
      <c r="F29" s="7" t="s">
        <v>2381</v>
      </c>
      <c r="G29" s="10"/>
      <c r="H29" s="7" t="s">
        <v>2357</v>
      </c>
      <c r="I29" s="7" t="s">
        <v>2593</v>
      </c>
      <c r="J29" s="7" t="s">
        <v>2363</v>
      </c>
      <c r="K29" s="7" t="s">
        <v>928</v>
      </c>
      <c r="L29" s="11" t="str">
        <f>HYPERLINK("http://slimages.macys.com/is/image/MCY/8453063 ")</f>
        <v xml:space="preserve">http://slimages.macys.com/is/image/MCY/8453063 </v>
      </c>
    </row>
    <row r="30" spans="1:12" ht="39.950000000000003" customHeight="1" x14ac:dyDescent="0.25">
      <c r="A30" s="6" t="s">
        <v>929</v>
      </c>
      <c r="B30" s="7" t="s">
        <v>930</v>
      </c>
      <c r="C30" s="8">
        <v>1</v>
      </c>
      <c r="D30" s="9">
        <v>49.99</v>
      </c>
      <c r="E30" s="8" t="s">
        <v>931</v>
      </c>
      <c r="F30" s="7" t="s">
        <v>2355</v>
      </c>
      <c r="G30" s="10"/>
      <c r="H30" s="7" t="s">
        <v>2387</v>
      </c>
      <c r="I30" s="7" t="s">
        <v>932</v>
      </c>
      <c r="J30" s="7"/>
      <c r="K30" s="7"/>
      <c r="L30" s="11" t="str">
        <f>HYPERLINK("http://slimages.macys.com/is/image/MCY/17960139 ")</f>
        <v xml:space="preserve">http://slimages.macys.com/is/image/MCY/17960139 </v>
      </c>
    </row>
    <row r="31" spans="1:12" ht="39.950000000000003" customHeight="1" x14ac:dyDescent="0.25">
      <c r="A31" s="6" t="s">
        <v>933</v>
      </c>
      <c r="B31" s="7" t="s">
        <v>934</v>
      </c>
      <c r="C31" s="8">
        <v>1</v>
      </c>
      <c r="D31" s="9">
        <v>59.99</v>
      </c>
      <c r="E31" s="8" t="s">
        <v>935</v>
      </c>
      <c r="F31" s="7" t="s">
        <v>2403</v>
      </c>
      <c r="G31" s="10"/>
      <c r="H31" s="7" t="s">
        <v>2387</v>
      </c>
      <c r="I31" s="7" t="s">
        <v>2404</v>
      </c>
      <c r="J31" s="7" t="s">
        <v>2363</v>
      </c>
      <c r="K31" s="7" t="s">
        <v>2405</v>
      </c>
      <c r="L31" s="11" t="str">
        <f>HYPERLINK("http://slimages.macys.com/is/image/MCY/13036438 ")</f>
        <v xml:space="preserve">http://slimages.macys.com/is/image/MCY/13036438 </v>
      </c>
    </row>
    <row r="32" spans="1:12" ht="39.950000000000003" customHeight="1" x14ac:dyDescent="0.25">
      <c r="A32" s="6" t="s">
        <v>936</v>
      </c>
      <c r="B32" s="7" t="s">
        <v>937</v>
      </c>
      <c r="C32" s="8">
        <v>1</v>
      </c>
      <c r="D32" s="9">
        <v>65.989999999999995</v>
      </c>
      <c r="E32" s="8" t="s">
        <v>938</v>
      </c>
      <c r="F32" s="7" t="s">
        <v>2435</v>
      </c>
      <c r="G32" s="10"/>
      <c r="H32" s="7" t="s">
        <v>2391</v>
      </c>
      <c r="I32" s="7" t="s">
        <v>2653</v>
      </c>
      <c r="J32" s="7" t="s">
        <v>2363</v>
      </c>
      <c r="K32" s="7" t="s">
        <v>2389</v>
      </c>
      <c r="L32" s="11" t="str">
        <f>HYPERLINK("http://slimages.macys.com/is/image/MCY/12816875 ")</f>
        <v xml:space="preserve">http://slimages.macys.com/is/image/MCY/12816875 </v>
      </c>
    </row>
    <row r="33" spans="1:12" ht="39.950000000000003" customHeight="1" x14ac:dyDescent="0.25">
      <c r="A33" s="6" t="s">
        <v>2737</v>
      </c>
      <c r="B33" s="7" t="s">
        <v>2738</v>
      </c>
      <c r="C33" s="8">
        <v>1</v>
      </c>
      <c r="D33" s="9">
        <v>61.99</v>
      </c>
      <c r="E33" s="8">
        <v>22422</v>
      </c>
      <c r="F33" s="7" t="s">
        <v>2355</v>
      </c>
      <c r="G33" s="10"/>
      <c r="H33" s="7" t="s">
        <v>2407</v>
      </c>
      <c r="I33" s="7" t="s">
        <v>2462</v>
      </c>
      <c r="J33" s="7"/>
      <c r="K33" s="7"/>
      <c r="L33" s="11" t="str">
        <f>HYPERLINK("http://slimages.macys.com/is/image/MCY/17673749 ")</f>
        <v xml:space="preserve">http://slimages.macys.com/is/image/MCY/17673749 </v>
      </c>
    </row>
    <row r="34" spans="1:12" ht="39.950000000000003" customHeight="1" x14ac:dyDescent="0.25">
      <c r="A34" s="6" t="s">
        <v>2162</v>
      </c>
      <c r="B34" s="7" t="s">
        <v>2163</v>
      </c>
      <c r="C34" s="8">
        <v>1</v>
      </c>
      <c r="D34" s="9">
        <v>69.989999999999995</v>
      </c>
      <c r="E34" s="8" t="s">
        <v>2164</v>
      </c>
      <c r="F34" s="7" t="s">
        <v>2355</v>
      </c>
      <c r="G34" s="10"/>
      <c r="H34" s="7" t="s">
        <v>2375</v>
      </c>
      <c r="I34" s="7" t="s">
        <v>3144</v>
      </c>
      <c r="J34" s="7" t="s">
        <v>2363</v>
      </c>
      <c r="K34" s="7" t="s">
        <v>2389</v>
      </c>
      <c r="L34" s="11" t="str">
        <f>HYPERLINK("http://slimages.macys.com/is/image/MCY/17754899 ")</f>
        <v xml:space="preserve">http://slimages.macys.com/is/image/MCY/17754899 </v>
      </c>
    </row>
    <row r="35" spans="1:12" ht="39.950000000000003" customHeight="1" x14ac:dyDescent="0.25">
      <c r="A35" s="6" t="s">
        <v>1810</v>
      </c>
      <c r="B35" s="7" t="s">
        <v>1811</v>
      </c>
      <c r="C35" s="8">
        <v>1</v>
      </c>
      <c r="D35" s="9">
        <v>59.99</v>
      </c>
      <c r="E35" s="8" t="s">
        <v>1812</v>
      </c>
      <c r="F35" s="7" t="s">
        <v>2495</v>
      </c>
      <c r="G35" s="10"/>
      <c r="H35" s="7" t="s">
        <v>2391</v>
      </c>
      <c r="I35" s="7" t="s">
        <v>2673</v>
      </c>
      <c r="J35" s="7"/>
      <c r="K35" s="7"/>
      <c r="L35" s="11" t="str">
        <f>HYPERLINK("http://slimages.macys.com/is/image/MCY/17806527 ")</f>
        <v xml:space="preserve">http://slimages.macys.com/is/image/MCY/17806527 </v>
      </c>
    </row>
    <row r="36" spans="1:12" ht="39.950000000000003" customHeight="1" x14ac:dyDescent="0.25">
      <c r="A36" s="6" t="s">
        <v>939</v>
      </c>
      <c r="B36" s="7" t="s">
        <v>940</v>
      </c>
      <c r="C36" s="8">
        <v>1</v>
      </c>
      <c r="D36" s="9">
        <v>58.99</v>
      </c>
      <c r="E36" s="8" t="s">
        <v>941</v>
      </c>
      <c r="F36" s="7" t="s">
        <v>2355</v>
      </c>
      <c r="G36" s="10" t="s">
        <v>942</v>
      </c>
      <c r="H36" s="7" t="s">
        <v>2407</v>
      </c>
      <c r="I36" s="7" t="s">
        <v>2620</v>
      </c>
      <c r="J36" s="7" t="s">
        <v>2363</v>
      </c>
      <c r="K36" s="7" t="s">
        <v>2371</v>
      </c>
      <c r="L36" s="11" t="str">
        <f>HYPERLINK("http://slimages.macys.com/is/image/MCY/11798784 ")</f>
        <v xml:space="preserve">http://slimages.macys.com/is/image/MCY/11798784 </v>
      </c>
    </row>
    <row r="37" spans="1:12" ht="39.950000000000003" customHeight="1" x14ac:dyDescent="0.25">
      <c r="A37" s="6" t="s">
        <v>2851</v>
      </c>
      <c r="B37" s="7" t="s">
        <v>2629</v>
      </c>
      <c r="C37" s="8">
        <v>1</v>
      </c>
      <c r="D37" s="9">
        <v>54.99</v>
      </c>
      <c r="E37" s="8" t="s">
        <v>2852</v>
      </c>
      <c r="F37" s="7" t="s">
        <v>2355</v>
      </c>
      <c r="G37" s="10" t="s">
        <v>2539</v>
      </c>
      <c r="H37" s="7" t="s">
        <v>2407</v>
      </c>
      <c r="I37" s="7" t="s">
        <v>2434</v>
      </c>
      <c r="J37" s="7"/>
      <c r="K37" s="7"/>
      <c r="L37" s="11" t="str">
        <f>HYPERLINK("http://slimages.macys.com/is/image/MCY/17546537 ")</f>
        <v xml:space="preserve">http://slimages.macys.com/is/image/MCY/17546537 </v>
      </c>
    </row>
    <row r="38" spans="1:12" ht="39.950000000000003" customHeight="1" x14ac:dyDescent="0.25">
      <c r="A38" s="6" t="s">
        <v>943</v>
      </c>
      <c r="B38" s="7" t="s">
        <v>944</v>
      </c>
      <c r="C38" s="8">
        <v>1</v>
      </c>
      <c r="D38" s="9">
        <v>62.99</v>
      </c>
      <c r="E38" s="8" t="s">
        <v>945</v>
      </c>
      <c r="F38" s="7" t="s">
        <v>2600</v>
      </c>
      <c r="G38" s="10"/>
      <c r="H38" s="7" t="s">
        <v>2391</v>
      </c>
      <c r="I38" s="7" t="s">
        <v>1737</v>
      </c>
      <c r="J38" s="7" t="s">
        <v>2363</v>
      </c>
      <c r="K38" s="7" t="s">
        <v>2385</v>
      </c>
      <c r="L38" s="11" t="str">
        <f>HYPERLINK("http://slimages.macys.com/is/image/MCY/15677642 ")</f>
        <v xml:space="preserve">http://slimages.macys.com/is/image/MCY/15677642 </v>
      </c>
    </row>
    <row r="39" spans="1:12" ht="39.950000000000003" customHeight="1" x14ac:dyDescent="0.25">
      <c r="A39" s="6" t="s">
        <v>946</v>
      </c>
      <c r="B39" s="7" t="s">
        <v>947</v>
      </c>
      <c r="C39" s="8">
        <v>1</v>
      </c>
      <c r="D39" s="9">
        <v>49.99</v>
      </c>
      <c r="E39" s="8">
        <v>22243122</v>
      </c>
      <c r="F39" s="7" t="s">
        <v>2379</v>
      </c>
      <c r="G39" s="10"/>
      <c r="H39" s="7" t="s">
        <v>2369</v>
      </c>
      <c r="I39" s="7" t="s">
        <v>2370</v>
      </c>
      <c r="J39" s="7" t="s">
        <v>2363</v>
      </c>
      <c r="K39" s="7" t="s">
        <v>2385</v>
      </c>
      <c r="L39" s="11" t="str">
        <f>HYPERLINK("http://slimages.macys.com/is/image/MCY/16688665 ")</f>
        <v xml:space="preserve">http://slimages.macys.com/is/image/MCY/16688665 </v>
      </c>
    </row>
    <row r="40" spans="1:12" ht="39.950000000000003" customHeight="1" x14ac:dyDescent="0.25">
      <c r="A40" s="6" t="s">
        <v>948</v>
      </c>
      <c r="B40" s="7" t="s">
        <v>949</v>
      </c>
      <c r="C40" s="8">
        <v>1</v>
      </c>
      <c r="D40" s="9">
        <v>49.99</v>
      </c>
      <c r="E40" s="8" t="s">
        <v>950</v>
      </c>
      <c r="F40" s="7" t="s">
        <v>2355</v>
      </c>
      <c r="G40" s="10"/>
      <c r="H40" s="7" t="s">
        <v>2391</v>
      </c>
      <c r="I40" s="7" t="s">
        <v>2633</v>
      </c>
      <c r="J40" s="7" t="s">
        <v>2363</v>
      </c>
      <c r="K40" s="7" t="s">
        <v>951</v>
      </c>
      <c r="L40" s="11" t="str">
        <f>HYPERLINK("http://slimages.macys.com/is/image/MCY/13767800 ")</f>
        <v xml:space="preserve">http://slimages.macys.com/is/image/MCY/13767800 </v>
      </c>
    </row>
    <row r="41" spans="1:12" ht="39.950000000000003" customHeight="1" x14ac:dyDescent="0.25">
      <c r="A41" s="6" t="s">
        <v>952</v>
      </c>
      <c r="B41" s="7" t="s">
        <v>953</v>
      </c>
      <c r="C41" s="8">
        <v>1</v>
      </c>
      <c r="D41" s="9">
        <v>34.99</v>
      </c>
      <c r="E41" s="8" t="s">
        <v>954</v>
      </c>
      <c r="F41" s="7" t="s">
        <v>2368</v>
      </c>
      <c r="G41" s="10"/>
      <c r="H41" s="7" t="s">
        <v>2387</v>
      </c>
      <c r="I41" s="7" t="s">
        <v>2153</v>
      </c>
      <c r="J41" s="7" t="s">
        <v>2363</v>
      </c>
      <c r="K41" s="7" t="s">
        <v>2544</v>
      </c>
      <c r="L41" s="11" t="str">
        <f>HYPERLINK("http://slimages.macys.com/is/image/MCY/13793285 ")</f>
        <v xml:space="preserve">http://slimages.macys.com/is/image/MCY/13793285 </v>
      </c>
    </row>
    <row r="42" spans="1:12" ht="39.950000000000003" customHeight="1" x14ac:dyDescent="0.25">
      <c r="A42" s="6" t="s">
        <v>1388</v>
      </c>
      <c r="B42" s="7" t="s">
        <v>1389</v>
      </c>
      <c r="C42" s="8">
        <v>2</v>
      </c>
      <c r="D42" s="9">
        <v>139.97999999999999</v>
      </c>
      <c r="E42" s="8" t="s">
        <v>1390</v>
      </c>
      <c r="F42" s="7" t="s">
        <v>2495</v>
      </c>
      <c r="G42" s="10"/>
      <c r="H42" s="7" t="s">
        <v>2413</v>
      </c>
      <c r="I42" s="7" t="s">
        <v>2524</v>
      </c>
      <c r="J42" s="7" t="s">
        <v>2363</v>
      </c>
      <c r="K42" s="7" t="s">
        <v>2525</v>
      </c>
      <c r="L42" s="11" t="str">
        <f>HYPERLINK("http://slimages.macys.com/is/image/MCY/13121058 ")</f>
        <v xml:space="preserve">http://slimages.macys.com/is/image/MCY/13121058 </v>
      </c>
    </row>
    <row r="43" spans="1:12" ht="39.950000000000003" customHeight="1" x14ac:dyDescent="0.25">
      <c r="A43" s="6" t="s">
        <v>955</v>
      </c>
      <c r="B43" s="7" t="s">
        <v>956</v>
      </c>
      <c r="C43" s="8">
        <v>1</v>
      </c>
      <c r="D43" s="9">
        <v>59.99</v>
      </c>
      <c r="E43" s="8" t="s">
        <v>957</v>
      </c>
      <c r="F43" s="7" t="s">
        <v>2355</v>
      </c>
      <c r="G43" s="10"/>
      <c r="H43" s="7" t="s">
        <v>2413</v>
      </c>
      <c r="I43" s="7" t="s">
        <v>2414</v>
      </c>
      <c r="J43" s="7" t="s">
        <v>2452</v>
      </c>
      <c r="K43" s="7" t="s">
        <v>2668</v>
      </c>
      <c r="L43" s="11" t="str">
        <f>HYPERLINK("http://slimages.macys.com/is/image/MCY/13368404 ")</f>
        <v xml:space="preserve">http://slimages.macys.com/is/image/MCY/13368404 </v>
      </c>
    </row>
    <row r="44" spans="1:12" ht="39.950000000000003" customHeight="1" x14ac:dyDescent="0.25">
      <c r="A44" s="6" t="s">
        <v>958</v>
      </c>
      <c r="B44" s="7" t="s">
        <v>959</v>
      </c>
      <c r="C44" s="8">
        <v>1</v>
      </c>
      <c r="D44" s="9">
        <v>38.99</v>
      </c>
      <c r="E44" s="8" t="s">
        <v>960</v>
      </c>
      <c r="F44" s="7" t="s">
        <v>2355</v>
      </c>
      <c r="G44" s="10" t="s">
        <v>2554</v>
      </c>
      <c r="H44" s="7" t="s">
        <v>2407</v>
      </c>
      <c r="I44" s="7" t="s">
        <v>2620</v>
      </c>
      <c r="J44" s="7" t="s">
        <v>2363</v>
      </c>
      <c r="K44" s="7" t="s">
        <v>2385</v>
      </c>
      <c r="L44" s="11" t="str">
        <f>HYPERLINK("http://slimages.macys.com/is/image/MCY/11798699 ")</f>
        <v xml:space="preserve">http://slimages.macys.com/is/image/MCY/11798699 </v>
      </c>
    </row>
    <row r="45" spans="1:12" ht="39.950000000000003" customHeight="1" x14ac:dyDescent="0.25">
      <c r="A45" s="6" t="s">
        <v>961</v>
      </c>
      <c r="B45" s="7" t="s">
        <v>962</v>
      </c>
      <c r="C45" s="8">
        <v>1</v>
      </c>
      <c r="D45" s="9">
        <v>33.99</v>
      </c>
      <c r="E45" s="8">
        <v>50531</v>
      </c>
      <c r="F45" s="7" t="s">
        <v>2362</v>
      </c>
      <c r="G45" s="10"/>
      <c r="H45" s="7" t="s">
        <v>2391</v>
      </c>
      <c r="I45" s="7" t="s">
        <v>2456</v>
      </c>
      <c r="J45" s="7" t="s">
        <v>2363</v>
      </c>
      <c r="K45" s="7" t="s">
        <v>2385</v>
      </c>
      <c r="L45" s="11" t="str">
        <f>HYPERLINK("http://slimages.macys.com/is/image/MCY/14663512 ")</f>
        <v xml:space="preserve">http://slimages.macys.com/is/image/MCY/14663512 </v>
      </c>
    </row>
    <row r="46" spans="1:12" ht="39.950000000000003" customHeight="1" x14ac:dyDescent="0.25">
      <c r="A46" s="6" t="s">
        <v>963</v>
      </c>
      <c r="B46" s="7" t="s">
        <v>964</v>
      </c>
      <c r="C46" s="8">
        <v>1</v>
      </c>
      <c r="D46" s="9">
        <v>39.99</v>
      </c>
      <c r="E46" s="8" t="s">
        <v>965</v>
      </c>
      <c r="F46" s="7" t="s">
        <v>2355</v>
      </c>
      <c r="G46" s="10" t="s">
        <v>2554</v>
      </c>
      <c r="H46" s="7" t="s">
        <v>2413</v>
      </c>
      <c r="I46" s="7" t="s">
        <v>2520</v>
      </c>
      <c r="J46" s="7" t="s">
        <v>2363</v>
      </c>
      <c r="K46" s="7"/>
      <c r="L46" s="11" t="str">
        <f>HYPERLINK("http://slimages.macys.com/is/image/MCY/8839662 ")</f>
        <v xml:space="preserve">http://slimages.macys.com/is/image/MCY/8839662 </v>
      </c>
    </row>
    <row r="47" spans="1:12" ht="39.950000000000003" customHeight="1" x14ac:dyDescent="0.25">
      <c r="A47" s="6" t="s">
        <v>966</v>
      </c>
      <c r="B47" s="7" t="s">
        <v>967</v>
      </c>
      <c r="C47" s="8">
        <v>1</v>
      </c>
      <c r="D47" s="9">
        <v>39.99</v>
      </c>
      <c r="E47" s="8" t="s">
        <v>968</v>
      </c>
      <c r="F47" s="7"/>
      <c r="G47" s="10"/>
      <c r="H47" s="7" t="s">
        <v>2458</v>
      </c>
      <c r="I47" s="7" t="s">
        <v>2459</v>
      </c>
      <c r="J47" s="7" t="s">
        <v>2460</v>
      </c>
      <c r="K47" s="7" t="s">
        <v>2461</v>
      </c>
      <c r="L47" s="11" t="str">
        <f>HYPERLINK("http://slimages.macys.com/is/image/MCY/9898874 ")</f>
        <v xml:space="preserve">http://slimages.macys.com/is/image/MCY/9898874 </v>
      </c>
    </row>
    <row r="48" spans="1:12" ht="39.950000000000003" customHeight="1" x14ac:dyDescent="0.25">
      <c r="A48" s="6" t="s">
        <v>2862</v>
      </c>
      <c r="B48" s="7" t="s">
        <v>2863</v>
      </c>
      <c r="C48" s="8">
        <v>1</v>
      </c>
      <c r="D48" s="9">
        <v>39.99</v>
      </c>
      <c r="E48" s="8" t="s">
        <v>2864</v>
      </c>
      <c r="F48" s="7" t="s">
        <v>2623</v>
      </c>
      <c r="G48" s="10"/>
      <c r="H48" s="7" t="s">
        <v>2458</v>
      </c>
      <c r="I48" s="7" t="s">
        <v>2459</v>
      </c>
      <c r="J48" s="7" t="s">
        <v>2460</v>
      </c>
      <c r="K48" s="7" t="s">
        <v>2461</v>
      </c>
      <c r="L48" s="11" t="str">
        <f>HYPERLINK("http://slimages.macys.com/is/image/MCY/9898874 ")</f>
        <v xml:space="preserve">http://slimages.macys.com/is/image/MCY/9898874 </v>
      </c>
    </row>
    <row r="49" spans="1:12" ht="39.950000000000003" customHeight="1" x14ac:dyDescent="0.25">
      <c r="A49" s="6" t="s">
        <v>2529</v>
      </c>
      <c r="B49" s="7" t="s">
        <v>2530</v>
      </c>
      <c r="C49" s="8">
        <v>1</v>
      </c>
      <c r="D49" s="9">
        <v>29.99</v>
      </c>
      <c r="E49" s="8">
        <v>50985</v>
      </c>
      <c r="F49" s="7" t="s">
        <v>2436</v>
      </c>
      <c r="G49" s="10"/>
      <c r="H49" s="7" t="s">
        <v>2391</v>
      </c>
      <c r="I49" s="7" t="s">
        <v>2456</v>
      </c>
      <c r="J49" s="7" t="s">
        <v>2363</v>
      </c>
      <c r="K49" s="7" t="s">
        <v>2531</v>
      </c>
      <c r="L49" s="11" t="str">
        <f>HYPERLINK("http://slimages.macys.com/is/image/MCY/10010838 ")</f>
        <v xml:space="preserve">http://slimages.macys.com/is/image/MCY/10010838 </v>
      </c>
    </row>
    <row r="50" spans="1:12" ht="39.950000000000003" customHeight="1" x14ac:dyDescent="0.25">
      <c r="A50" s="6" t="s">
        <v>1391</v>
      </c>
      <c r="B50" s="7" t="s">
        <v>1392</v>
      </c>
      <c r="C50" s="8">
        <v>2</v>
      </c>
      <c r="D50" s="9">
        <v>79.98</v>
      </c>
      <c r="E50" s="8">
        <v>63977</v>
      </c>
      <c r="F50" s="7" t="s">
        <v>2355</v>
      </c>
      <c r="G50" s="10" t="s">
        <v>2646</v>
      </c>
      <c r="H50" s="7" t="s">
        <v>2407</v>
      </c>
      <c r="I50" s="7" t="s">
        <v>2542</v>
      </c>
      <c r="J50" s="7" t="s">
        <v>2452</v>
      </c>
      <c r="K50" s="7" t="s">
        <v>2806</v>
      </c>
      <c r="L50" s="11" t="str">
        <f>HYPERLINK("http://slimages.macys.com/is/image/MCY/3201358 ")</f>
        <v xml:space="preserve">http://slimages.macys.com/is/image/MCY/3201358 </v>
      </c>
    </row>
    <row r="51" spans="1:12" ht="39.950000000000003" customHeight="1" x14ac:dyDescent="0.25">
      <c r="A51" s="6" t="s">
        <v>2665</v>
      </c>
      <c r="B51" s="7" t="s">
        <v>2666</v>
      </c>
      <c r="C51" s="8">
        <v>1</v>
      </c>
      <c r="D51" s="9">
        <v>49.99</v>
      </c>
      <c r="E51" s="8" t="s">
        <v>2667</v>
      </c>
      <c r="F51" s="7" t="s">
        <v>2355</v>
      </c>
      <c r="G51" s="10"/>
      <c r="H51" s="7" t="s">
        <v>2413</v>
      </c>
      <c r="I51" s="7" t="s">
        <v>2414</v>
      </c>
      <c r="J51" s="7" t="s">
        <v>2452</v>
      </c>
      <c r="K51" s="7" t="s">
        <v>2668</v>
      </c>
      <c r="L51" s="11" t="str">
        <f>HYPERLINK("http://slimages.macys.com/is/image/MCY/13368404 ")</f>
        <v xml:space="preserve">http://slimages.macys.com/is/image/MCY/13368404 </v>
      </c>
    </row>
    <row r="52" spans="1:12" ht="39.950000000000003" customHeight="1" x14ac:dyDescent="0.25">
      <c r="A52" s="6" t="s">
        <v>969</v>
      </c>
      <c r="B52" s="7" t="s">
        <v>970</v>
      </c>
      <c r="C52" s="8">
        <v>3</v>
      </c>
      <c r="D52" s="9">
        <v>149.97</v>
      </c>
      <c r="E52" s="8" t="s">
        <v>971</v>
      </c>
      <c r="F52" s="7" t="s">
        <v>2538</v>
      </c>
      <c r="G52" s="10"/>
      <c r="H52" s="7" t="s">
        <v>2729</v>
      </c>
      <c r="I52" s="7" t="s">
        <v>2730</v>
      </c>
      <c r="J52" s="7" t="s">
        <v>2363</v>
      </c>
      <c r="K52" s="7"/>
      <c r="L52" s="11" t="str">
        <f>HYPERLINK("http://slimages.macys.com/is/image/MCY/16350952 ")</f>
        <v xml:space="preserve">http://slimages.macys.com/is/image/MCY/16350952 </v>
      </c>
    </row>
    <row r="53" spans="1:12" ht="39.950000000000003" customHeight="1" x14ac:dyDescent="0.25">
      <c r="A53" s="6" t="s">
        <v>2971</v>
      </c>
      <c r="B53" s="7" t="s">
        <v>2972</v>
      </c>
      <c r="C53" s="8">
        <v>1</v>
      </c>
      <c r="D53" s="9">
        <v>39.99</v>
      </c>
      <c r="E53" s="8" t="s">
        <v>2768</v>
      </c>
      <c r="F53" s="7" t="s">
        <v>2362</v>
      </c>
      <c r="G53" s="10" t="s">
        <v>2415</v>
      </c>
      <c r="H53" s="7" t="s">
        <v>2548</v>
      </c>
      <c r="I53" s="7" t="s">
        <v>2638</v>
      </c>
      <c r="J53" s="7" t="s">
        <v>2363</v>
      </c>
      <c r="K53" s="7" t="s">
        <v>2402</v>
      </c>
      <c r="L53" s="11" t="str">
        <f>HYPERLINK("http://slimages.macys.com/is/image/MCY/9513121 ")</f>
        <v xml:space="preserve">http://slimages.macys.com/is/image/MCY/9513121 </v>
      </c>
    </row>
    <row r="54" spans="1:12" ht="39.950000000000003" customHeight="1" x14ac:dyDescent="0.25">
      <c r="A54" s="6" t="s">
        <v>2438</v>
      </c>
      <c r="B54" s="7" t="s">
        <v>2439</v>
      </c>
      <c r="C54" s="8">
        <v>1</v>
      </c>
      <c r="D54" s="9">
        <v>39.99</v>
      </c>
      <c r="E54" s="8" t="s">
        <v>2440</v>
      </c>
      <c r="F54" s="7" t="s">
        <v>2362</v>
      </c>
      <c r="G54" s="10" t="s">
        <v>2441</v>
      </c>
      <c r="H54" s="7" t="s">
        <v>2442</v>
      </c>
      <c r="I54" s="7" t="s">
        <v>2443</v>
      </c>
      <c r="J54" s="7" t="s">
        <v>2363</v>
      </c>
      <c r="K54" s="7" t="s">
        <v>2444</v>
      </c>
      <c r="L54" s="11" t="str">
        <f>HYPERLINK("http://slimages.macys.com/is/image/MCY/15098992 ")</f>
        <v xml:space="preserve">http://slimages.macys.com/is/image/MCY/15098992 </v>
      </c>
    </row>
    <row r="55" spans="1:12" ht="39.950000000000003" customHeight="1" x14ac:dyDescent="0.25">
      <c r="A55" s="6" t="s">
        <v>972</v>
      </c>
      <c r="B55" s="7" t="s">
        <v>973</v>
      </c>
      <c r="C55" s="8">
        <v>1</v>
      </c>
      <c r="D55" s="9">
        <v>29.99</v>
      </c>
      <c r="E55" s="8" t="s">
        <v>974</v>
      </c>
      <c r="F55" s="7" t="s">
        <v>2368</v>
      </c>
      <c r="G55" s="10" t="s">
        <v>2610</v>
      </c>
      <c r="H55" s="7" t="s">
        <v>2432</v>
      </c>
      <c r="I55" s="7" t="s">
        <v>2453</v>
      </c>
      <c r="J55" s="7" t="s">
        <v>2363</v>
      </c>
      <c r="K55" s="7"/>
      <c r="L55" s="11" t="str">
        <f>HYPERLINK("http://slimages.macys.com/is/image/MCY/8397272 ")</f>
        <v xml:space="preserve">http://slimages.macys.com/is/image/MCY/8397272 </v>
      </c>
    </row>
    <row r="56" spans="1:12" ht="39.950000000000003" customHeight="1" x14ac:dyDescent="0.25">
      <c r="A56" s="6" t="s">
        <v>975</v>
      </c>
      <c r="B56" s="7" t="s">
        <v>976</v>
      </c>
      <c r="C56" s="8">
        <v>1</v>
      </c>
      <c r="D56" s="9">
        <v>30.99</v>
      </c>
      <c r="E56" s="8" t="s">
        <v>977</v>
      </c>
      <c r="F56" s="7" t="s">
        <v>2355</v>
      </c>
      <c r="G56" s="10" t="s">
        <v>2606</v>
      </c>
      <c r="H56" s="7" t="s">
        <v>2407</v>
      </c>
      <c r="I56" s="7" t="s">
        <v>2620</v>
      </c>
      <c r="J56" s="7" t="s">
        <v>2363</v>
      </c>
      <c r="K56" s="7" t="s">
        <v>2371</v>
      </c>
      <c r="L56" s="11" t="str">
        <f>HYPERLINK("http://slimages.macys.com/is/image/MCY/11798691 ")</f>
        <v xml:space="preserve">http://slimages.macys.com/is/image/MCY/11798691 </v>
      </c>
    </row>
    <row r="57" spans="1:12" ht="39.950000000000003" customHeight="1" x14ac:dyDescent="0.25">
      <c r="A57" s="6" t="s">
        <v>2995</v>
      </c>
      <c r="B57" s="7" t="s">
        <v>2996</v>
      </c>
      <c r="C57" s="8">
        <v>1</v>
      </c>
      <c r="D57" s="9">
        <v>64.989999999999995</v>
      </c>
      <c r="E57" s="8" t="s">
        <v>2997</v>
      </c>
      <c r="F57" s="7" t="s">
        <v>2355</v>
      </c>
      <c r="G57" s="10"/>
      <c r="H57" s="7" t="s">
        <v>2357</v>
      </c>
      <c r="I57" s="7" t="s">
        <v>2378</v>
      </c>
      <c r="J57" s="7" t="s">
        <v>2363</v>
      </c>
      <c r="K57" s="7" t="s">
        <v>2416</v>
      </c>
      <c r="L57" s="11" t="str">
        <f>HYPERLINK("http://slimages.macys.com/is/image/MCY/8182285 ")</f>
        <v xml:space="preserve">http://slimages.macys.com/is/image/MCY/8182285 </v>
      </c>
    </row>
    <row r="58" spans="1:12" ht="39.950000000000003" customHeight="1" x14ac:dyDescent="0.25">
      <c r="A58" s="6" t="s">
        <v>978</v>
      </c>
      <c r="B58" s="7" t="s">
        <v>979</v>
      </c>
      <c r="C58" s="8">
        <v>1</v>
      </c>
      <c r="D58" s="9">
        <v>29.99</v>
      </c>
      <c r="E58" s="8">
        <v>75550</v>
      </c>
      <c r="F58" s="7"/>
      <c r="G58" s="10"/>
      <c r="H58" s="7" t="s">
        <v>2369</v>
      </c>
      <c r="I58" s="7" t="s">
        <v>3015</v>
      </c>
      <c r="J58" s="7" t="s">
        <v>2363</v>
      </c>
      <c r="K58" s="7" t="s">
        <v>2998</v>
      </c>
      <c r="L58" s="11" t="str">
        <f>HYPERLINK("http://slimages.macys.com/is/image/MCY/3813347 ")</f>
        <v xml:space="preserve">http://slimages.macys.com/is/image/MCY/3813347 </v>
      </c>
    </row>
    <row r="59" spans="1:12" ht="39.950000000000003" customHeight="1" x14ac:dyDescent="0.25">
      <c r="A59" s="6" t="s">
        <v>3297</v>
      </c>
      <c r="B59" s="7" t="s">
        <v>3298</v>
      </c>
      <c r="C59" s="8">
        <v>1</v>
      </c>
      <c r="D59" s="9">
        <v>24.99</v>
      </c>
      <c r="E59" s="8" t="s">
        <v>3299</v>
      </c>
      <c r="F59" s="7" t="s">
        <v>2419</v>
      </c>
      <c r="G59" s="10"/>
      <c r="H59" s="7" t="s">
        <v>2535</v>
      </c>
      <c r="I59" s="7" t="s">
        <v>2604</v>
      </c>
      <c r="J59" s="7" t="s">
        <v>2363</v>
      </c>
      <c r="K59" s="7" t="s">
        <v>2385</v>
      </c>
      <c r="L59" s="11" t="str">
        <f>HYPERLINK("http://slimages.macys.com/is/image/MCY/2861128 ")</f>
        <v xml:space="preserve">http://slimages.macys.com/is/image/MCY/2861128 </v>
      </c>
    </row>
    <row r="60" spans="1:12" ht="39.950000000000003" customHeight="1" x14ac:dyDescent="0.25">
      <c r="A60" s="6" t="s">
        <v>2877</v>
      </c>
      <c r="B60" s="7" t="s">
        <v>2878</v>
      </c>
      <c r="C60" s="8">
        <v>1</v>
      </c>
      <c r="D60" s="9">
        <v>29.99</v>
      </c>
      <c r="E60" s="8" t="s">
        <v>2879</v>
      </c>
      <c r="F60" s="7"/>
      <c r="G60" s="10"/>
      <c r="H60" s="7" t="s">
        <v>2369</v>
      </c>
      <c r="I60" s="7" t="s">
        <v>2431</v>
      </c>
      <c r="J60" s="7" t="s">
        <v>2363</v>
      </c>
      <c r="K60" s="7" t="s">
        <v>2385</v>
      </c>
      <c r="L60" s="11" t="str">
        <f>HYPERLINK("http://slimages.macys.com/is/image/MCY/16688487 ")</f>
        <v xml:space="preserve">http://slimages.macys.com/is/image/MCY/16688487 </v>
      </c>
    </row>
    <row r="61" spans="1:12" ht="39.950000000000003" customHeight="1" x14ac:dyDescent="0.25">
      <c r="A61" s="6" t="s">
        <v>980</v>
      </c>
      <c r="B61" s="7" t="s">
        <v>981</v>
      </c>
      <c r="C61" s="8">
        <v>2</v>
      </c>
      <c r="D61" s="9">
        <v>59.98</v>
      </c>
      <c r="E61" s="8">
        <v>1010314200</v>
      </c>
      <c r="F61" s="7" t="s">
        <v>2355</v>
      </c>
      <c r="G61" s="10"/>
      <c r="H61" s="7" t="s">
        <v>2442</v>
      </c>
      <c r="I61" s="7" t="s">
        <v>2443</v>
      </c>
      <c r="J61" s="7"/>
      <c r="K61" s="7"/>
      <c r="L61" s="11" t="str">
        <f>HYPERLINK("http://slimages.macys.com/is/image/MCY/17707778 ")</f>
        <v xml:space="preserve">http://slimages.macys.com/is/image/MCY/17707778 </v>
      </c>
    </row>
    <row r="62" spans="1:12" ht="39.950000000000003" customHeight="1" x14ac:dyDescent="0.25">
      <c r="A62" s="6" t="s">
        <v>982</v>
      </c>
      <c r="B62" s="7" t="s">
        <v>983</v>
      </c>
      <c r="C62" s="8">
        <v>1</v>
      </c>
      <c r="D62" s="9">
        <v>39.99</v>
      </c>
      <c r="E62" s="8" t="s">
        <v>984</v>
      </c>
      <c r="F62" s="7" t="s">
        <v>2368</v>
      </c>
      <c r="G62" s="10"/>
      <c r="H62" s="7" t="s">
        <v>2369</v>
      </c>
      <c r="I62" s="7" t="s">
        <v>2961</v>
      </c>
      <c r="J62" s="7"/>
      <c r="K62" s="7"/>
      <c r="L62" s="11" t="str">
        <f>HYPERLINK("http://slimages.macys.com/is/image/MCY/18543479 ")</f>
        <v xml:space="preserve">http://slimages.macys.com/is/image/MCY/18543479 </v>
      </c>
    </row>
    <row r="63" spans="1:12" ht="39.950000000000003" customHeight="1" x14ac:dyDescent="0.25">
      <c r="A63" s="6" t="s">
        <v>985</v>
      </c>
      <c r="B63" s="7" t="s">
        <v>986</v>
      </c>
      <c r="C63" s="8">
        <v>1</v>
      </c>
      <c r="D63" s="9">
        <v>32.99</v>
      </c>
      <c r="E63" s="8" t="s">
        <v>987</v>
      </c>
      <c r="F63" s="7" t="s">
        <v>2355</v>
      </c>
      <c r="G63" s="10"/>
      <c r="H63" s="7" t="s">
        <v>2369</v>
      </c>
      <c r="I63" s="7" t="s">
        <v>2748</v>
      </c>
      <c r="J63" s="7" t="s">
        <v>2363</v>
      </c>
      <c r="K63" s="7" t="s">
        <v>2385</v>
      </c>
      <c r="L63" s="11" t="str">
        <f>HYPERLINK("http://slimages.macys.com/is/image/MCY/13743861 ")</f>
        <v xml:space="preserve">http://slimages.macys.com/is/image/MCY/13743861 </v>
      </c>
    </row>
    <row r="64" spans="1:12" ht="39.950000000000003" customHeight="1" x14ac:dyDescent="0.25">
      <c r="A64" s="6" t="s">
        <v>988</v>
      </c>
      <c r="B64" s="7" t="s">
        <v>989</v>
      </c>
      <c r="C64" s="8">
        <v>1</v>
      </c>
      <c r="D64" s="9">
        <v>24.99</v>
      </c>
      <c r="E64" s="8" t="s">
        <v>990</v>
      </c>
      <c r="F64" s="7" t="s">
        <v>2362</v>
      </c>
      <c r="G64" s="10"/>
      <c r="H64" s="7" t="s">
        <v>2535</v>
      </c>
      <c r="I64" s="7" t="s">
        <v>2604</v>
      </c>
      <c r="J64" s="7" t="s">
        <v>2363</v>
      </c>
      <c r="K64" s="7" t="s">
        <v>2385</v>
      </c>
      <c r="L64" s="11" t="str">
        <f>HYPERLINK("http://slimages.macys.com/is/image/MCY/2861128 ")</f>
        <v xml:space="preserve">http://slimages.macys.com/is/image/MCY/2861128 </v>
      </c>
    </row>
    <row r="65" spans="1:12" ht="39.950000000000003" customHeight="1" x14ac:dyDescent="0.25">
      <c r="A65" s="6" t="s">
        <v>991</v>
      </c>
      <c r="B65" s="7" t="s">
        <v>992</v>
      </c>
      <c r="C65" s="8">
        <v>1</v>
      </c>
      <c r="D65" s="9">
        <v>34.99</v>
      </c>
      <c r="E65" s="8" t="s">
        <v>993</v>
      </c>
      <c r="F65" s="7" t="s">
        <v>2355</v>
      </c>
      <c r="G65" s="10"/>
      <c r="H65" s="7" t="s">
        <v>2413</v>
      </c>
      <c r="I65" s="7" t="s">
        <v>2499</v>
      </c>
      <c r="J65" s="7" t="s">
        <v>2363</v>
      </c>
      <c r="K65" s="7"/>
      <c r="L65" s="11" t="str">
        <f>HYPERLINK("http://slimages.macys.com/is/image/MCY/15661735 ")</f>
        <v xml:space="preserve">http://slimages.macys.com/is/image/MCY/15661735 </v>
      </c>
    </row>
    <row r="66" spans="1:12" ht="39.950000000000003" customHeight="1" x14ac:dyDescent="0.25">
      <c r="A66" s="6" t="s">
        <v>994</v>
      </c>
      <c r="B66" s="7" t="s">
        <v>995</v>
      </c>
      <c r="C66" s="8">
        <v>1</v>
      </c>
      <c r="D66" s="9">
        <v>27.99</v>
      </c>
      <c r="E66" s="8" t="s">
        <v>996</v>
      </c>
      <c r="F66" s="7" t="s">
        <v>2368</v>
      </c>
      <c r="G66" s="10" t="s">
        <v>2450</v>
      </c>
      <c r="H66" s="7" t="s">
        <v>2391</v>
      </c>
      <c r="I66" s="7" t="s">
        <v>2451</v>
      </c>
      <c r="J66" s="7" t="s">
        <v>2452</v>
      </c>
      <c r="K66" s="7" t="s">
        <v>2385</v>
      </c>
      <c r="L66" s="11" t="str">
        <f>HYPERLINK("http://slimages.macys.com/is/image/MCY/16367429 ")</f>
        <v xml:space="preserve">http://slimages.macys.com/is/image/MCY/16367429 </v>
      </c>
    </row>
    <row r="67" spans="1:12" ht="39.950000000000003" customHeight="1" x14ac:dyDescent="0.25">
      <c r="A67" s="6" t="s">
        <v>997</v>
      </c>
      <c r="B67" s="7" t="s">
        <v>998</v>
      </c>
      <c r="C67" s="8">
        <v>1</v>
      </c>
      <c r="D67" s="9">
        <v>24.99</v>
      </c>
      <c r="E67" s="8">
        <v>31101</v>
      </c>
      <c r="F67" s="7" t="s">
        <v>2419</v>
      </c>
      <c r="G67" s="10"/>
      <c r="H67" s="7" t="s">
        <v>2407</v>
      </c>
      <c r="I67" s="7" t="s">
        <v>2542</v>
      </c>
      <c r="J67" s="7" t="s">
        <v>2452</v>
      </c>
      <c r="K67" s="7" t="s">
        <v>999</v>
      </c>
      <c r="L67" s="11" t="str">
        <f>HYPERLINK("http://slimages.macys.com/is/image/MCY/16148734 ")</f>
        <v xml:space="preserve">http://slimages.macys.com/is/image/MCY/16148734 </v>
      </c>
    </row>
    <row r="68" spans="1:12" ht="39.950000000000003" customHeight="1" x14ac:dyDescent="0.25">
      <c r="A68" s="6" t="s">
        <v>1000</v>
      </c>
      <c r="B68" s="7" t="s">
        <v>1001</v>
      </c>
      <c r="C68" s="8">
        <v>1</v>
      </c>
      <c r="D68" s="9">
        <v>25.99</v>
      </c>
      <c r="E68" s="8" t="s">
        <v>1002</v>
      </c>
      <c r="F68" s="7"/>
      <c r="G68" s="10"/>
      <c r="H68" s="7" t="s">
        <v>2458</v>
      </c>
      <c r="I68" s="7" t="s">
        <v>2459</v>
      </c>
      <c r="J68" s="7" t="s">
        <v>2460</v>
      </c>
      <c r="K68" s="7" t="s">
        <v>2461</v>
      </c>
      <c r="L68" s="11" t="str">
        <f>HYPERLINK("http://slimages.macys.com/is/image/MCY/9898874 ")</f>
        <v xml:space="preserve">http://slimages.macys.com/is/image/MCY/9898874 </v>
      </c>
    </row>
    <row r="69" spans="1:12" ht="39.950000000000003" customHeight="1" x14ac:dyDescent="0.25">
      <c r="A69" s="6" t="s">
        <v>1003</v>
      </c>
      <c r="B69" s="7" t="s">
        <v>1004</v>
      </c>
      <c r="C69" s="8">
        <v>1</v>
      </c>
      <c r="D69" s="9">
        <v>78.11</v>
      </c>
      <c r="E69" s="8">
        <v>2051492</v>
      </c>
      <c r="F69" s="7"/>
      <c r="G69" s="10"/>
      <c r="H69" s="7" t="s">
        <v>2391</v>
      </c>
      <c r="I69" s="7" t="s">
        <v>1005</v>
      </c>
      <c r="J69" s="7" t="s">
        <v>2363</v>
      </c>
      <c r="K69" s="7" t="s">
        <v>1006</v>
      </c>
      <c r="L69" s="11" t="str">
        <f>HYPERLINK("http://slimages.macys.com/is/image/MCY/11628691 ")</f>
        <v xml:space="preserve">http://slimages.macys.com/is/image/MCY/11628691 </v>
      </c>
    </row>
    <row r="70" spans="1:12" ht="39.950000000000003" customHeight="1" x14ac:dyDescent="0.25">
      <c r="A70" s="6" t="s">
        <v>1007</v>
      </c>
      <c r="B70" s="7" t="s">
        <v>1008</v>
      </c>
      <c r="C70" s="8">
        <v>1</v>
      </c>
      <c r="D70" s="9">
        <v>17.989999999999998</v>
      </c>
      <c r="E70" s="8">
        <v>57791</v>
      </c>
      <c r="F70" s="7" t="s">
        <v>2355</v>
      </c>
      <c r="G70" s="10"/>
      <c r="H70" s="7" t="s">
        <v>2391</v>
      </c>
      <c r="I70" s="7" t="s">
        <v>2456</v>
      </c>
      <c r="J70" s="7" t="s">
        <v>2363</v>
      </c>
      <c r="K70" s="7" t="s">
        <v>2385</v>
      </c>
      <c r="L70" s="11" t="str">
        <f>HYPERLINK("http://slimages.macys.com/is/image/MCY/17937738 ")</f>
        <v xml:space="preserve">http://slimages.macys.com/is/image/MCY/17937738 </v>
      </c>
    </row>
    <row r="71" spans="1:12" ht="39.950000000000003" customHeight="1" x14ac:dyDescent="0.25">
      <c r="A71" s="6" t="s">
        <v>1009</v>
      </c>
      <c r="B71" s="7" t="s">
        <v>1010</v>
      </c>
      <c r="C71" s="8">
        <v>1</v>
      </c>
      <c r="D71" s="9">
        <v>15.99</v>
      </c>
      <c r="E71" s="8">
        <v>21139</v>
      </c>
      <c r="F71" s="7" t="s">
        <v>2355</v>
      </c>
      <c r="G71" s="10" t="s">
        <v>2469</v>
      </c>
      <c r="H71" s="7" t="s">
        <v>2532</v>
      </c>
      <c r="I71" s="7" t="s">
        <v>2980</v>
      </c>
      <c r="J71" s="7" t="s">
        <v>2363</v>
      </c>
      <c r="K71" s="7" t="s">
        <v>2981</v>
      </c>
      <c r="L71" s="11" t="str">
        <f>HYPERLINK("http://slimages.macys.com/is/image/MCY/15369137 ")</f>
        <v xml:space="preserve">http://slimages.macys.com/is/image/MCY/15369137 </v>
      </c>
    </row>
    <row r="72" spans="1:12" ht="39.950000000000003" customHeight="1" x14ac:dyDescent="0.25">
      <c r="A72" s="6" t="s">
        <v>1011</v>
      </c>
      <c r="B72" s="7" t="s">
        <v>1012</v>
      </c>
      <c r="C72" s="8">
        <v>1</v>
      </c>
      <c r="D72" s="9">
        <v>26.99</v>
      </c>
      <c r="E72" s="8" t="s">
        <v>1013</v>
      </c>
      <c r="F72" s="7" t="s">
        <v>2381</v>
      </c>
      <c r="G72" s="10"/>
      <c r="H72" s="7" t="s">
        <v>2391</v>
      </c>
      <c r="I72" s="7" t="s">
        <v>2926</v>
      </c>
      <c r="J72" s="7" t="s">
        <v>2363</v>
      </c>
      <c r="K72" s="7" t="s">
        <v>2385</v>
      </c>
      <c r="L72" s="11" t="str">
        <f>HYPERLINK("http://slimages.macys.com/is/image/MCY/12712443 ")</f>
        <v xml:space="preserve">http://slimages.macys.com/is/image/MCY/12712443 </v>
      </c>
    </row>
    <row r="73" spans="1:12" ht="39.950000000000003" customHeight="1" x14ac:dyDescent="0.25">
      <c r="A73" s="6" t="s">
        <v>1014</v>
      </c>
      <c r="B73" s="7" t="s">
        <v>1015</v>
      </c>
      <c r="C73" s="8">
        <v>2</v>
      </c>
      <c r="D73" s="9">
        <v>49.98</v>
      </c>
      <c r="E73" s="8" t="s">
        <v>1016</v>
      </c>
      <c r="F73" s="7" t="s">
        <v>2355</v>
      </c>
      <c r="G73" s="10"/>
      <c r="H73" s="7" t="s">
        <v>2413</v>
      </c>
      <c r="I73" s="7" t="s">
        <v>2499</v>
      </c>
      <c r="J73" s="7" t="s">
        <v>2452</v>
      </c>
      <c r="K73" s="7"/>
      <c r="L73" s="11" t="str">
        <f>HYPERLINK("http://slimages.macys.com/is/image/MCY/12384987 ")</f>
        <v xml:space="preserve">http://slimages.macys.com/is/image/MCY/12384987 </v>
      </c>
    </row>
    <row r="74" spans="1:12" ht="39.950000000000003" customHeight="1" x14ac:dyDescent="0.25">
      <c r="A74" s="6" t="s">
        <v>1017</v>
      </c>
      <c r="B74" s="7" t="s">
        <v>1018</v>
      </c>
      <c r="C74" s="8">
        <v>1</v>
      </c>
      <c r="D74" s="9">
        <v>19.989999999999998</v>
      </c>
      <c r="E74" s="8">
        <v>100071550</v>
      </c>
      <c r="F74" s="7" t="s">
        <v>2386</v>
      </c>
      <c r="G74" s="10"/>
      <c r="H74" s="7" t="s">
        <v>2427</v>
      </c>
      <c r="I74" s="7" t="s">
        <v>2227</v>
      </c>
      <c r="J74" s="7" t="s">
        <v>2496</v>
      </c>
      <c r="K74" s="7" t="s">
        <v>2385</v>
      </c>
      <c r="L74" s="11" t="str">
        <f>HYPERLINK("http://slimages.macys.com/is/image/MCY/16143901 ")</f>
        <v xml:space="preserve">http://slimages.macys.com/is/image/MCY/16143901 </v>
      </c>
    </row>
    <row r="75" spans="1:12" ht="39.950000000000003" customHeight="1" x14ac:dyDescent="0.25">
      <c r="A75" s="6" t="s">
        <v>2611</v>
      </c>
      <c r="B75" s="7" t="s">
        <v>2612</v>
      </c>
      <c r="C75" s="8">
        <v>1</v>
      </c>
      <c r="D75" s="9">
        <v>16.989999999999998</v>
      </c>
      <c r="E75" s="8" t="s">
        <v>2613</v>
      </c>
      <c r="F75" s="7" t="s">
        <v>2355</v>
      </c>
      <c r="G75" s="10" t="s">
        <v>2441</v>
      </c>
      <c r="H75" s="7" t="s">
        <v>2442</v>
      </c>
      <c r="I75" s="7" t="s">
        <v>2443</v>
      </c>
      <c r="J75" s="7" t="s">
        <v>2363</v>
      </c>
      <c r="K75" s="7" t="s">
        <v>2421</v>
      </c>
      <c r="L75" s="11" t="str">
        <f>HYPERLINK("http://slimages.macys.com/is/image/MCY/12737864 ")</f>
        <v xml:space="preserve">http://slimages.macys.com/is/image/MCY/12737864 </v>
      </c>
    </row>
    <row r="76" spans="1:12" ht="39.950000000000003" customHeight="1" x14ac:dyDescent="0.25">
      <c r="A76" s="6" t="s">
        <v>1019</v>
      </c>
      <c r="B76" s="7" t="s">
        <v>1020</v>
      </c>
      <c r="C76" s="8">
        <v>1</v>
      </c>
      <c r="D76" s="9">
        <v>78.11</v>
      </c>
      <c r="E76" s="8">
        <v>63972</v>
      </c>
      <c r="F76" s="7"/>
      <c r="G76" s="10"/>
      <c r="H76" s="7" t="s">
        <v>2407</v>
      </c>
      <c r="I76" s="7" t="s">
        <v>2542</v>
      </c>
      <c r="J76" s="7" t="s">
        <v>2452</v>
      </c>
      <c r="K76" s="7" t="s">
        <v>1021</v>
      </c>
      <c r="L76" s="11" t="str">
        <f>HYPERLINK("http://slimages.macys.com/is/image/MCY/12926389 ")</f>
        <v xml:space="preserve">http://slimages.macys.com/is/image/MCY/12926389 </v>
      </c>
    </row>
    <row r="77" spans="1:12" ht="39.950000000000003" customHeight="1" x14ac:dyDescent="0.25">
      <c r="A77" s="6" t="s">
        <v>2751</v>
      </c>
      <c r="B77" s="7" t="s">
        <v>2752</v>
      </c>
      <c r="C77" s="8">
        <v>1</v>
      </c>
      <c r="D77" s="9">
        <v>9.99</v>
      </c>
      <c r="E77" s="8" t="s">
        <v>2753</v>
      </c>
      <c r="F77" s="7" t="s">
        <v>2475</v>
      </c>
      <c r="G77" s="10"/>
      <c r="H77" s="7" t="s">
        <v>2391</v>
      </c>
      <c r="I77" s="7" t="s">
        <v>2653</v>
      </c>
      <c r="J77" s="7"/>
      <c r="K77" s="7"/>
      <c r="L77" s="11" t="str">
        <f>HYPERLINK("http://slimages.macys.com/is/image/MCY/17995889 ")</f>
        <v xml:space="preserve">http://slimages.macys.com/is/image/MCY/17995889 </v>
      </c>
    </row>
    <row r="78" spans="1:12" ht="39.950000000000003" customHeight="1" x14ac:dyDescent="0.25">
      <c r="A78" s="6" t="s">
        <v>1022</v>
      </c>
      <c r="B78" s="7" t="s">
        <v>1023</v>
      </c>
      <c r="C78" s="8">
        <v>1</v>
      </c>
      <c r="D78" s="9">
        <v>12.99</v>
      </c>
      <c r="E78" s="8" t="s">
        <v>1024</v>
      </c>
      <c r="F78" s="7" t="s">
        <v>2558</v>
      </c>
      <c r="G78" s="10" t="s">
        <v>2616</v>
      </c>
      <c r="H78" s="7" t="s">
        <v>2442</v>
      </c>
      <c r="I78" s="7" t="s">
        <v>2443</v>
      </c>
      <c r="J78" s="7" t="s">
        <v>2363</v>
      </c>
      <c r="K78" s="7" t="s">
        <v>2421</v>
      </c>
      <c r="L78" s="11" t="str">
        <f>HYPERLINK("http://slimages.macys.com/is/image/MCY/12737814 ")</f>
        <v xml:space="preserve">http://slimages.macys.com/is/image/MCY/12737814 </v>
      </c>
    </row>
    <row r="79" spans="1:12" ht="39.950000000000003" customHeight="1" x14ac:dyDescent="0.25">
      <c r="A79" s="6" t="s">
        <v>1025</v>
      </c>
      <c r="B79" s="7" t="s">
        <v>1026</v>
      </c>
      <c r="C79" s="8">
        <v>1</v>
      </c>
      <c r="D79" s="9">
        <v>99.99</v>
      </c>
      <c r="E79" s="8" t="s">
        <v>1027</v>
      </c>
      <c r="F79" s="7" t="s">
        <v>2506</v>
      </c>
      <c r="G79" s="10"/>
      <c r="H79" s="7" t="s">
        <v>2387</v>
      </c>
      <c r="I79" s="7" t="s">
        <v>932</v>
      </c>
      <c r="J79" s="7"/>
      <c r="K79" s="7"/>
      <c r="L79" s="11"/>
    </row>
    <row r="80" spans="1:12" ht="39.950000000000003" customHeight="1" x14ac:dyDescent="0.25">
      <c r="A80" s="6" t="s">
        <v>2466</v>
      </c>
      <c r="B80" s="7" t="s">
        <v>2467</v>
      </c>
      <c r="C80" s="8">
        <v>1</v>
      </c>
      <c r="D80" s="9">
        <v>40</v>
      </c>
      <c r="E80" s="8"/>
      <c r="F80" s="7" t="s">
        <v>2468</v>
      </c>
      <c r="G80" s="10" t="s">
        <v>2469</v>
      </c>
      <c r="H80" s="7" t="s">
        <v>2470</v>
      </c>
      <c r="I80" s="7" t="s">
        <v>2471</v>
      </c>
      <c r="J80" s="7"/>
      <c r="K80" s="7"/>
      <c r="L80" s="11"/>
    </row>
    <row r="81" spans="1:12" ht="39.950000000000003" customHeight="1" x14ac:dyDescent="0.25">
      <c r="A81" s="6" t="s">
        <v>1028</v>
      </c>
      <c r="B81" s="7" t="s">
        <v>1029</v>
      </c>
      <c r="C81" s="8">
        <v>1</v>
      </c>
      <c r="D81" s="9">
        <v>15.99</v>
      </c>
      <c r="E81" s="8">
        <v>418241</v>
      </c>
      <c r="F81" s="7" t="s">
        <v>2512</v>
      </c>
      <c r="G81" s="10" t="s">
        <v>2426</v>
      </c>
      <c r="H81" s="7" t="s">
        <v>2391</v>
      </c>
      <c r="I81" s="7" t="s">
        <v>2448</v>
      </c>
      <c r="J81" s="7"/>
      <c r="K81" s="7"/>
      <c r="L81" s="11"/>
    </row>
  </sheetData>
  <phoneticPr fontId="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48"/>
  <sheetViews>
    <sheetView workbookViewId="0">
      <selection activeCell="B44" sqref="B44"/>
    </sheetView>
  </sheetViews>
  <sheetFormatPr defaultRowHeight="39.950000000000003" customHeight="1" x14ac:dyDescent="0.25"/>
  <cols>
    <col min="1" max="1" width="14.28515625" customWidth="1"/>
    <col min="2" max="2" width="50.85546875" customWidth="1"/>
    <col min="3" max="3" width="15" customWidth="1"/>
    <col min="4" max="4" width="10.28515625" customWidth="1"/>
    <col min="5" max="5" width="15.425781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6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2350</v>
      </c>
      <c r="I1" s="5" t="s">
        <v>2351</v>
      </c>
      <c r="J1" s="5" t="s">
        <v>2352</v>
      </c>
      <c r="K1" s="5" t="s">
        <v>2353</v>
      </c>
      <c r="L1" s="5" t="s">
        <v>2354</v>
      </c>
    </row>
    <row r="2" spans="1:12" ht="36.75" x14ac:dyDescent="0.25">
      <c r="A2" s="6" t="s">
        <v>2901</v>
      </c>
      <c r="B2" s="7" t="s">
        <v>2902</v>
      </c>
      <c r="C2" s="8">
        <v>1</v>
      </c>
      <c r="D2" s="9">
        <v>229.99</v>
      </c>
      <c r="E2" s="8" t="s">
        <v>2903</v>
      </c>
      <c r="F2" s="7" t="s">
        <v>2446</v>
      </c>
      <c r="G2" s="10" t="s">
        <v>2501</v>
      </c>
      <c r="H2" s="7" t="s">
        <v>2422</v>
      </c>
      <c r="I2" s="7" t="s">
        <v>2825</v>
      </c>
      <c r="J2" s="7" t="s">
        <v>2363</v>
      </c>
      <c r="K2" s="7" t="s">
        <v>2904</v>
      </c>
      <c r="L2" s="11" t="str">
        <f>HYPERLINK("http://slimages.macys.com/is/image/MCY/8843478 ")</f>
        <v xml:space="preserve">http://slimages.macys.com/is/image/MCY/8843478 </v>
      </c>
    </row>
    <row r="3" spans="1:12" ht="24.75" x14ac:dyDescent="0.25">
      <c r="A3" s="6" t="s">
        <v>1030</v>
      </c>
      <c r="B3" s="7" t="s">
        <v>1031</v>
      </c>
      <c r="C3" s="8">
        <v>3</v>
      </c>
      <c r="D3" s="9">
        <v>299.97000000000003</v>
      </c>
      <c r="E3" s="8">
        <v>600656447001</v>
      </c>
      <c r="F3" s="7" t="s">
        <v>2495</v>
      </c>
      <c r="G3" s="10" t="s">
        <v>2610</v>
      </c>
      <c r="H3" s="7" t="s">
        <v>2906</v>
      </c>
      <c r="I3" s="7" t="s">
        <v>2907</v>
      </c>
      <c r="J3" s="7" t="s">
        <v>2452</v>
      </c>
      <c r="K3" s="7"/>
      <c r="L3" s="11" t="str">
        <f>HYPERLINK("http://slimages.macys.com/is/image/MCY/8576356 ")</f>
        <v xml:space="preserve">http://slimages.macys.com/is/image/MCY/8576356 </v>
      </c>
    </row>
    <row r="4" spans="1:12" ht="24.75" x14ac:dyDescent="0.25">
      <c r="A4" s="6" t="s">
        <v>1032</v>
      </c>
      <c r="B4" s="7" t="s">
        <v>1033</v>
      </c>
      <c r="C4" s="8">
        <v>1</v>
      </c>
      <c r="D4" s="9">
        <v>119.99</v>
      </c>
      <c r="E4" s="8" t="s">
        <v>1034</v>
      </c>
      <c r="F4" s="7" t="s">
        <v>2475</v>
      </c>
      <c r="G4" s="10"/>
      <c r="H4" s="7" t="s">
        <v>2486</v>
      </c>
      <c r="I4" s="7" t="s">
        <v>2958</v>
      </c>
      <c r="J4" s="7" t="s">
        <v>2363</v>
      </c>
      <c r="K4" s="7" t="s">
        <v>2497</v>
      </c>
      <c r="L4" s="11" t="str">
        <f>HYPERLINK("http://slimages.macys.com/is/image/MCY/12738803 ")</f>
        <v xml:space="preserve">http://slimages.macys.com/is/image/MCY/12738803 </v>
      </c>
    </row>
    <row r="5" spans="1:12" ht="24.75" x14ac:dyDescent="0.25">
      <c r="A5" s="6" t="s">
        <v>1035</v>
      </c>
      <c r="B5" s="7" t="s">
        <v>1036</v>
      </c>
      <c r="C5" s="8">
        <v>1</v>
      </c>
      <c r="D5" s="9">
        <v>49.99</v>
      </c>
      <c r="E5" s="8" t="s">
        <v>1037</v>
      </c>
      <c r="F5" s="7" t="s">
        <v>2368</v>
      </c>
      <c r="G5" s="10"/>
      <c r="H5" s="7" t="s">
        <v>2432</v>
      </c>
      <c r="I5" s="7" t="s">
        <v>2433</v>
      </c>
      <c r="J5" s="7" t="s">
        <v>2363</v>
      </c>
      <c r="K5" s="7" t="s">
        <v>2402</v>
      </c>
      <c r="L5" s="11" t="str">
        <f>HYPERLINK("http://slimages.macys.com/is/image/MCY/10342310 ")</f>
        <v xml:space="preserve">http://slimages.macys.com/is/image/MCY/10342310 </v>
      </c>
    </row>
    <row r="6" spans="1:12" ht="24.75" x14ac:dyDescent="0.25">
      <c r="A6" s="6" t="s">
        <v>2924</v>
      </c>
      <c r="B6" s="7" t="s">
        <v>2925</v>
      </c>
      <c r="C6" s="8">
        <v>2</v>
      </c>
      <c r="D6" s="9">
        <v>159.97999999999999</v>
      </c>
      <c r="E6" s="8">
        <v>10002473500</v>
      </c>
      <c r="F6" s="7" t="s">
        <v>2362</v>
      </c>
      <c r="G6" s="10"/>
      <c r="H6" s="7" t="s">
        <v>2357</v>
      </c>
      <c r="I6" s="7" t="s">
        <v>2358</v>
      </c>
      <c r="J6" s="7" t="s">
        <v>2363</v>
      </c>
      <c r="K6" s="7"/>
      <c r="L6" s="11" t="str">
        <f>HYPERLINK("http://slimages.macys.com/is/image/MCY/9746274 ")</f>
        <v xml:space="preserve">http://slimages.macys.com/is/image/MCY/9746274 </v>
      </c>
    </row>
    <row r="7" spans="1:12" ht="36.75" x14ac:dyDescent="0.25">
      <c r="A7" s="6" t="s">
        <v>1038</v>
      </c>
      <c r="B7" s="7" t="s">
        <v>1039</v>
      </c>
      <c r="C7" s="8">
        <v>1</v>
      </c>
      <c r="D7" s="9">
        <v>87.99</v>
      </c>
      <c r="E7" s="8" t="s">
        <v>1040</v>
      </c>
      <c r="F7" s="7" t="s">
        <v>2355</v>
      </c>
      <c r="G7" s="10"/>
      <c r="H7" s="7" t="s">
        <v>2369</v>
      </c>
      <c r="I7" s="7" t="s">
        <v>2572</v>
      </c>
      <c r="J7" s="7" t="s">
        <v>2363</v>
      </c>
      <c r="K7" s="7" t="s">
        <v>1041</v>
      </c>
      <c r="L7" s="11" t="str">
        <f>HYPERLINK("http://slimages.macys.com/is/image/MCY/14330453 ")</f>
        <v xml:space="preserve">http://slimages.macys.com/is/image/MCY/14330453 </v>
      </c>
    </row>
    <row r="8" spans="1:12" ht="24.75" x14ac:dyDescent="0.25">
      <c r="A8" s="6" t="s">
        <v>1042</v>
      </c>
      <c r="B8" s="7" t="s">
        <v>1043</v>
      </c>
      <c r="C8" s="8">
        <v>1</v>
      </c>
      <c r="D8" s="9">
        <v>61.99</v>
      </c>
      <c r="E8" s="8" t="s">
        <v>1044</v>
      </c>
      <c r="F8" s="7" t="s">
        <v>2468</v>
      </c>
      <c r="G8" s="10" t="s">
        <v>2469</v>
      </c>
      <c r="H8" s="7" t="s">
        <v>2432</v>
      </c>
      <c r="I8" s="7" t="s">
        <v>2794</v>
      </c>
      <c r="J8" s="7" t="s">
        <v>2795</v>
      </c>
      <c r="K8" s="7" t="s">
        <v>2796</v>
      </c>
      <c r="L8" s="11" t="str">
        <f>HYPERLINK("http://slimages.macys.com/is/image/MCY/10487885 ")</f>
        <v xml:space="preserve">http://slimages.macys.com/is/image/MCY/10487885 </v>
      </c>
    </row>
    <row r="9" spans="1:12" ht="24.75" x14ac:dyDescent="0.25">
      <c r="A9" s="6" t="s">
        <v>1045</v>
      </c>
      <c r="B9" s="7" t="s">
        <v>1046</v>
      </c>
      <c r="C9" s="8">
        <v>1</v>
      </c>
      <c r="D9" s="9">
        <v>59.99</v>
      </c>
      <c r="E9" s="8" t="s">
        <v>1047</v>
      </c>
      <c r="F9" s="7" t="s">
        <v>2368</v>
      </c>
      <c r="G9" s="10" t="s">
        <v>1048</v>
      </c>
      <c r="H9" s="7" t="s">
        <v>2432</v>
      </c>
      <c r="I9" s="7" t="s">
        <v>2433</v>
      </c>
      <c r="J9" s="7" t="s">
        <v>2363</v>
      </c>
      <c r="K9" s="7" t="s">
        <v>2650</v>
      </c>
      <c r="L9" s="11" t="str">
        <f>HYPERLINK("http://slimages.macys.com/is/image/MCY/8156999 ")</f>
        <v xml:space="preserve">http://slimages.macys.com/is/image/MCY/8156999 </v>
      </c>
    </row>
    <row r="10" spans="1:12" ht="24.75" x14ac:dyDescent="0.25">
      <c r="A10" s="6" t="s">
        <v>1049</v>
      </c>
      <c r="B10" s="7" t="s">
        <v>1050</v>
      </c>
      <c r="C10" s="8">
        <v>1</v>
      </c>
      <c r="D10" s="9">
        <v>79.989999999999995</v>
      </c>
      <c r="E10" s="8">
        <v>10001968900</v>
      </c>
      <c r="F10" s="7" t="s">
        <v>2436</v>
      </c>
      <c r="G10" s="10"/>
      <c r="H10" s="7" t="s">
        <v>2357</v>
      </c>
      <c r="I10" s="7" t="s">
        <v>2358</v>
      </c>
      <c r="J10" s="7" t="s">
        <v>2363</v>
      </c>
      <c r="K10" s="7" t="s">
        <v>1051</v>
      </c>
      <c r="L10" s="11" t="str">
        <f>HYPERLINK("http://slimages.macys.com/is/image/MCY/14788715 ")</f>
        <v xml:space="preserve">http://slimages.macys.com/is/image/MCY/14788715 </v>
      </c>
    </row>
    <row r="11" spans="1:12" ht="48.75" x14ac:dyDescent="0.25">
      <c r="A11" s="6" t="s">
        <v>1052</v>
      </c>
      <c r="B11" s="7" t="s">
        <v>1053</v>
      </c>
      <c r="C11" s="8">
        <v>1</v>
      </c>
      <c r="D11" s="9">
        <v>63.99</v>
      </c>
      <c r="E11" s="8">
        <v>62225</v>
      </c>
      <c r="F11" s="7" t="s">
        <v>2355</v>
      </c>
      <c r="G11" s="10"/>
      <c r="H11" s="7" t="s">
        <v>2407</v>
      </c>
      <c r="I11" s="7" t="s">
        <v>2542</v>
      </c>
      <c r="J11" s="7" t="s">
        <v>2363</v>
      </c>
      <c r="K11" s="7" t="s">
        <v>1054</v>
      </c>
      <c r="L11" s="11" t="str">
        <f>HYPERLINK("http://slimages.macys.com/is/image/MCY/10056569 ")</f>
        <v xml:space="preserve">http://slimages.macys.com/is/image/MCY/10056569 </v>
      </c>
    </row>
    <row r="12" spans="1:12" ht="36.75" x14ac:dyDescent="0.25">
      <c r="A12" s="6" t="s">
        <v>1055</v>
      </c>
      <c r="B12" s="7" t="s">
        <v>1056</v>
      </c>
      <c r="C12" s="8">
        <v>11</v>
      </c>
      <c r="D12" s="9">
        <v>879.89</v>
      </c>
      <c r="E12" s="8">
        <v>100003975</v>
      </c>
      <c r="F12" s="7" t="s">
        <v>2362</v>
      </c>
      <c r="G12" s="10" t="s">
        <v>2450</v>
      </c>
      <c r="H12" s="7" t="s">
        <v>2357</v>
      </c>
      <c r="I12" s="7" t="s">
        <v>2476</v>
      </c>
      <c r="J12" s="7" t="s">
        <v>2363</v>
      </c>
      <c r="K12" s="7" t="s">
        <v>1057</v>
      </c>
      <c r="L12" s="11" t="str">
        <f>HYPERLINK("http://slimages.macys.com/is/image/MCY/12277365 ")</f>
        <v xml:space="preserve">http://slimages.macys.com/is/image/MCY/12277365 </v>
      </c>
    </row>
    <row r="13" spans="1:12" ht="24.75" x14ac:dyDescent="0.25">
      <c r="A13" s="6" t="s">
        <v>1058</v>
      </c>
      <c r="B13" s="7" t="s">
        <v>1059</v>
      </c>
      <c r="C13" s="8">
        <v>1</v>
      </c>
      <c r="D13" s="9">
        <v>39.99</v>
      </c>
      <c r="E13" s="8" t="s">
        <v>1060</v>
      </c>
      <c r="F13" s="7" t="s">
        <v>2424</v>
      </c>
      <c r="G13" s="10" t="s">
        <v>2450</v>
      </c>
      <c r="H13" s="7" t="s">
        <v>2391</v>
      </c>
      <c r="I13" s="7" t="s">
        <v>2805</v>
      </c>
      <c r="J13" s="7" t="s">
        <v>2363</v>
      </c>
      <c r="K13" s="7"/>
      <c r="L13" s="11" t="str">
        <f>HYPERLINK("http://slimages.macys.com/is/image/MCY/16103279 ")</f>
        <v xml:space="preserve">http://slimages.macys.com/is/image/MCY/16103279 </v>
      </c>
    </row>
    <row r="14" spans="1:12" ht="24.75" x14ac:dyDescent="0.25">
      <c r="A14" s="6" t="s">
        <v>1061</v>
      </c>
      <c r="B14" s="7" t="s">
        <v>1062</v>
      </c>
      <c r="C14" s="8">
        <v>4</v>
      </c>
      <c r="D14" s="9">
        <v>139.96</v>
      </c>
      <c r="E14" s="8" t="s">
        <v>1063</v>
      </c>
      <c r="F14" s="7" t="s">
        <v>2454</v>
      </c>
      <c r="G14" s="10" t="s">
        <v>2426</v>
      </c>
      <c r="H14" s="7" t="s">
        <v>2391</v>
      </c>
      <c r="I14" s="7" t="s">
        <v>2409</v>
      </c>
      <c r="J14" s="7" t="s">
        <v>2363</v>
      </c>
      <c r="K14" s="7" t="s">
        <v>951</v>
      </c>
      <c r="L14" s="11" t="str">
        <f>HYPERLINK("http://slimages.macys.com/is/image/MCY/3664922 ")</f>
        <v xml:space="preserve">http://slimages.macys.com/is/image/MCY/3664922 </v>
      </c>
    </row>
    <row r="15" spans="1:12" ht="24.75" x14ac:dyDescent="0.25">
      <c r="A15" s="6" t="s">
        <v>1064</v>
      </c>
      <c r="B15" s="7" t="s">
        <v>1065</v>
      </c>
      <c r="C15" s="8">
        <v>1</v>
      </c>
      <c r="D15" s="9">
        <v>34.99</v>
      </c>
      <c r="E15" s="8" t="s">
        <v>1066</v>
      </c>
      <c r="F15" s="7" t="s">
        <v>2446</v>
      </c>
      <c r="G15" s="10" t="s">
        <v>2426</v>
      </c>
      <c r="H15" s="7" t="s">
        <v>2391</v>
      </c>
      <c r="I15" s="7" t="s">
        <v>2409</v>
      </c>
      <c r="J15" s="7" t="s">
        <v>2363</v>
      </c>
      <c r="K15" s="7" t="s">
        <v>951</v>
      </c>
      <c r="L15" s="11" t="str">
        <f>HYPERLINK("http://slimages.macys.com/is/image/MCY/3664922 ")</f>
        <v xml:space="preserve">http://slimages.macys.com/is/image/MCY/3664922 </v>
      </c>
    </row>
    <row r="16" spans="1:12" ht="24.75" x14ac:dyDescent="0.25">
      <c r="A16" s="6" t="s">
        <v>1067</v>
      </c>
      <c r="B16" s="7" t="s">
        <v>1068</v>
      </c>
      <c r="C16" s="8">
        <v>4</v>
      </c>
      <c r="D16" s="9">
        <v>143.96</v>
      </c>
      <c r="E16" s="8" t="s">
        <v>1069</v>
      </c>
      <c r="F16" s="7" t="s">
        <v>2355</v>
      </c>
      <c r="G16" s="10" t="s">
        <v>804</v>
      </c>
      <c r="H16" s="7" t="s">
        <v>2391</v>
      </c>
      <c r="I16" s="7" t="s">
        <v>2409</v>
      </c>
      <c r="J16" s="7" t="s">
        <v>2363</v>
      </c>
      <c r="K16" s="7" t="s">
        <v>2913</v>
      </c>
      <c r="L16" s="11" t="str">
        <f>HYPERLINK("http://slimages.macys.com/is/image/MCY/8216605 ")</f>
        <v xml:space="preserve">http://slimages.macys.com/is/image/MCY/8216605 </v>
      </c>
    </row>
    <row r="17" spans="1:12" ht="24.75" x14ac:dyDescent="0.25">
      <c r="A17" s="6" t="s">
        <v>1070</v>
      </c>
      <c r="B17" s="7" t="s">
        <v>1071</v>
      </c>
      <c r="C17" s="8">
        <v>2</v>
      </c>
      <c r="D17" s="9">
        <v>59.98</v>
      </c>
      <c r="E17" s="8" t="s">
        <v>1072</v>
      </c>
      <c r="F17" s="7" t="s">
        <v>2505</v>
      </c>
      <c r="G17" s="10"/>
      <c r="H17" s="7" t="s">
        <v>2391</v>
      </c>
      <c r="I17" s="7" t="s">
        <v>2673</v>
      </c>
      <c r="J17" s="7" t="s">
        <v>2363</v>
      </c>
      <c r="K17" s="7"/>
      <c r="L17" s="11" t="str">
        <f>HYPERLINK("http://slimages.macys.com/is/image/MCY/16095340 ")</f>
        <v xml:space="preserve">http://slimages.macys.com/is/image/MCY/16095340 </v>
      </c>
    </row>
    <row r="18" spans="1:12" ht="24.75" x14ac:dyDescent="0.25">
      <c r="A18" s="6" t="s">
        <v>1073</v>
      </c>
      <c r="B18" s="7" t="s">
        <v>1074</v>
      </c>
      <c r="C18" s="8">
        <v>4</v>
      </c>
      <c r="D18" s="9">
        <v>139.96</v>
      </c>
      <c r="E18" s="8" t="s">
        <v>1075</v>
      </c>
      <c r="F18" s="7" t="s">
        <v>2417</v>
      </c>
      <c r="G18" s="10" t="s">
        <v>1076</v>
      </c>
      <c r="H18" s="7" t="s">
        <v>2391</v>
      </c>
      <c r="I18" s="7" t="s">
        <v>2409</v>
      </c>
      <c r="J18" s="7" t="s">
        <v>2363</v>
      </c>
      <c r="K18" s="7" t="s">
        <v>2913</v>
      </c>
      <c r="L18" s="11" t="str">
        <f>HYPERLINK("http://slimages.macys.com/is/image/MCY/8810083 ")</f>
        <v xml:space="preserve">http://slimages.macys.com/is/image/MCY/8810083 </v>
      </c>
    </row>
    <row r="19" spans="1:12" ht="24.75" x14ac:dyDescent="0.25">
      <c r="A19" s="6" t="s">
        <v>1077</v>
      </c>
      <c r="B19" s="7" t="s">
        <v>1078</v>
      </c>
      <c r="C19" s="8">
        <v>1</v>
      </c>
      <c r="D19" s="9">
        <v>39.99</v>
      </c>
      <c r="E19" s="8">
        <v>100109278</v>
      </c>
      <c r="F19" s="7" t="s">
        <v>2355</v>
      </c>
      <c r="G19" s="10"/>
      <c r="H19" s="7" t="s">
        <v>2427</v>
      </c>
      <c r="I19" s="7" t="s">
        <v>3274</v>
      </c>
      <c r="J19" s="7"/>
      <c r="K19" s="7"/>
      <c r="L19" s="11" t="str">
        <f>HYPERLINK("http://slimages.macys.com/is/image/MCY/17902268 ")</f>
        <v xml:space="preserve">http://slimages.macys.com/is/image/MCY/17902268 </v>
      </c>
    </row>
    <row r="20" spans="1:12" ht="24.75" x14ac:dyDescent="0.25">
      <c r="A20" s="6" t="s">
        <v>1079</v>
      </c>
      <c r="B20" s="7" t="s">
        <v>1080</v>
      </c>
      <c r="C20" s="8">
        <v>1</v>
      </c>
      <c r="D20" s="9">
        <v>49.99</v>
      </c>
      <c r="E20" s="8" t="s">
        <v>1081</v>
      </c>
      <c r="F20" s="7"/>
      <c r="G20" s="10"/>
      <c r="H20" s="7" t="s">
        <v>2383</v>
      </c>
      <c r="I20" s="7" t="s">
        <v>2849</v>
      </c>
      <c r="J20" s="7" t="s">
        <v>2363</v>
      </c>
      <c r="K20" s="7"/>
      <c r="L20" s="11" t="str">
        <f>HYPERLINK("http://slimages.macys.com/is/image/MCY/8735623 ")</f>
        <v xml:space="preserve">http://slimages.macys.com/is/image/MCY/8735623 </v>
      </c>
    </row>
    <row r="21" spans="1:12" ht="24.75" x14ac:dyDescent="0.25">
      <c r="A21" s="6" t="s">
        <v>1082</v>
      </c>
      <c r="B21" s="7" t="s">
        <v>1083</v>
      </c>
      <c r="C21" s="8">
        <v>1</v>
      </c>
      <c r="D21" s="9">
        <v>24.99</v>
      </c>
      <c r="E21" s="8" t="s">
        <v>1084</v>
      </c>
      <c r="F21" s="7" t="s">
        <v>2506</v>
      </c>
      <c r="G21" s="10"/>
      <c r="H21" s="7" t="s">
        <v>2391</v>
      </c>
      <c r="I21" s="7" t="s">
        <v>2673</v>
      </c>
      <c r="J21" s="7" t="s">
        <v>2363</v>
      </c>
      <c r="K21" s="7" t="s">
        <v>1085</v>
      </c>
      <c r="L21" s="11" t="str">
        <f>HYPERLINK("http://slimages.macys.com/is/image/MCY/9743732 ")</f>
        <v xml:space="preserve">http://slimages.macys.com/is/image/MCY/9743732 </v>
      </c>
    </row>
    <row r="22" spans="1:12" ht="24.75" x14ac:dyDescent="0.25">
      <c r="A22" s="6" t="s">
        <v>1086</v>
      </c>
      <c r="B22" s="7" t="s">
        <v>1087</v>
      </c>
      <c r="C22" s="8">
        <v>1</v>
      </c>
      <c r="D22" s="9">
        <v>29.99</v>
      </c>
      <c r="E22" s="8" t="s">
        <v>1088</v>
      </c>
      <c r="F22" s="7"/>
      <c r="G22" s="10"/>
      <c r="H22" s="7" t="s">
        <v>2369</v>
      </c>
      <c r="I22" s="7" t="s">
        <v>2431</v>
      </c>
      <c r="J22" s="7" t="s">
        <v>2363</v>
      </c>
      <c r="K22" s="7" t="s">
        <v>2385</v>
      </c>
      <c r="L22" s="11" t="str">
        <f>HYPERLINK("http://slimages.macys.com/is/image/MCY/14911488 ")</f>
        <v xml:space="preserve">http://slimages.macys.com/is/image/MCY/14911488 </v>
      </c>
    </row>
    <row r="23" spans="1:12" ht="24.75" x14ac:dyDescent="0.25">
      <c r="A23" s="6" t="s">
        <v>1089</v>
      </c>
      <c r="B23" s="7" t="s">
        <v>1090</v>
      </c>
      <c r="C23" s="8">
        <v>1</v>
      </c>
      <c r="D23" s="9">
        <v>29.99</v>
      </c>
      <c r="E23" s="8" t="s">
        <v>1091</v>
      </c>
      <c r="F23" s="7"/>
      <c r="G23" s="10"/>
      <c r="H23" s="7" t="s">
        <v>2369</v>
      </c>
      <c r="I23" s="7" t="s">
        <v>2431</v>
      </c>
      <c r="J23" s="7" t="s">
        <v>2363</v>
      </c>
      <c r="K23" s="7" t="s">
        <v>2385</v>
      </c>
      <c r="L23" s="11" t="str">
        <f>HYPERLINK("http://slimages.macys.com/is/image/MCY/16344436 ")</f>
        <v xml:space="preserve">http://slimages.macys.com/is/image/MCY/16344436 </v>
      </c>
    </row>
    <row r="24" spans="1:12" ht="24.75" x14ac:dyDescent="0.25">
      <c r="A24" s="6" t="s">
        <v>829</v>
      </c>
      <c r="B24" s="7" t="s">
        <v>830</v>
      </c>
      <c r="C24" s="8">
        <v>1</v>
      </c>
      <c r="D24" s="9">
        <v>29.99</v>
      </c>
      <c r="E24" s="8" t="s">
        <v>831</v>
      </c>
      <c r="F24" s="7"/>
      <c r="G24" s="10"/>
      <c r="H24" s="7" t="s">
        <v>2369</v>
      </c>
      <c r="I24" s="7" t="s">
        <v>2431</v>
      </c>
      <c r="J24" s="7" t="s">
        <v>2363</v>
      </c>
      <c r="K24" s="7" t="s">
        <v>2927</v>
      </c>
      <c r="L24" s="11" t="str">
        <f>HYPERLINK("http://slimages.macys.com/is/image/MCY/16344436 ")</f>
        <v xml:space="preserve">http://slimages.macys.com/is/image/MCY/16344436 </v>
      </c>
    </row>
    <row r="25" spans="1:12" ht="24.75" x14ac:dyDescent="0.25">
      <c r="A25" s="6" t="s">
        <v>1092</v>
      </c>
      <c r="B25" s="7" t="s">
        <v>1093</v>
      </c>
      <c r="C25" s="8">
        <v>1</v>
      </c>
      <c r="D25" s="9">
        <v>22.99</v>
      </c>
      <c r="E25" s="8" t="s">
        <v>1094</v>
      </c>
      <c r="F25" s="7" t="s">
        <v>2495</v>
      </c>
      <c r="G25" s="10" t="s">
        <v>2450</v>
      </c>
      <c r="H25" s="7" t="s">
        <v>2391</v>
      </c>
      <c r="I25" s="7" t="s">
        <v>2409</v>
      </c>
      <c r="J25" s="7" t="s">
        <v>2363</v>
      </c>
      <c r="K25" s="7" t="s">
        <v>2385</v>
      </c>
      <c r="L25" s="11" t="str">
        <f>HYPERLINK("http://slimages.macys.com/is/image/MCY/16421101 ")</f>
        <v xml:space="preserve">http://slimages.macys.com/is/image/MCY/16421101 </v>
      </c>
    </row>
    <row r="26" spans="1:12" ht="24.75" x14ac:dyDescent="0.25">
      <c r="A26" s="6" t="s">
        <v>1095</v>
      </c>
      <c r="B26" s="7" t="s">
        <v>1096</v>
      </c>
      <c r="C26" s="8">
        <v>2</v>
      </c>
      <c r="D26" s="9">
        <v>53.98</v>
      </c>
      <c r="E26" s="8" t="s">
        <v>1097</v>
      </c>
      <c r="F26" s="7" t="s">
        <v>2446</v>
      </c>
      <c r="G26" s="10"/>
      <c r="H26" s="7" t="s">
        <v>2369</v>
      </c>
      <c r="I26" s="7" t="s">
        <v>2409</v>
      </c>
      <c r="J26" s="7" t="s">
        <v>2363</v>
      </c>
      <c r="K26" s="7" t="s">
        <v>828</v>
      </c>
      <c r="L26" s="11" t="str">
        <f>HYPERLINK("http://slimages.macys.com/is/image/MCY/9767721 ")</f>
        <v xml:space="preserve">http://slimages.macys.com/is/image/MCY/9767721 </v>
      </c>
    </row>
    <row r="27" spans="1:12" ht="24.75" x14ac:dyDescent="0.25">
      <c r="A27" s="6" t="s">
        <v>1098</v>
      </c>
      <c r="B27" s="7" t="s">
        <v>1099</v>
      </c>
      <c r="C27" s="8">
        <v>1</v>
      </c>
      <c r="D27" s="9">
        <v>19.989999999999998</v>
      </c>
      <c r="E27" s="8" t="s">
        <v>1100</v>
      </c>
      <c r="F27" s="7" t="s">
        <v>2505</v>
      </c>
      <c r="G27" s="10" t="s">
        <v>2313</v>
      </c>
      <c r="H27" s="7" t="s">
        <v>2391</v>
      </c>
      <c r="I27" s="7" t="s">
        <v>2673</v>
      </c>
      <c r="J27" s="7" t="s">
        <v>2363</v>
      </c>
      <c r="K27" s="7" t="s">
        <v>1101</v>
      </c>
      <c r="L27" s="11" t="str">
        <f>HYPERLINK("http://slimages.macys.com/is/image/MCY/9740185 ")</f>
        <v xml:space="preserve">http://slimages.macys.com/is/image/MCY/9740185 </v>
      </c>
    </row>
    <row r="28" spans="1:12" ht="24.75" x14ac:dyDescent="0.25">
      <c r="A28" s="6" t="s">
        <v>543</v>
      </c>
      <c r="B28" s="7" t="s">
        <v>544</v>
      </c>
      <c r="C28" s="8">
        <v>1</v>
      </c>
      <c r="D28" s="9">
        <v>19.989999999999998</v>
      </c>
      <c r="E28" s="8" t="s">
        <v>545</v>
      </c>
      <c r="F28" s="7" t="s">
        <v>2446</v>
      </c>
      <c r="G28" s="10"/>
      <c r="H28" s="7" t="s">
        <v>2391</v>
      </c>
      <c r="I28" s="7" t="s">
        <v>2409</v>
      </c>
      <c r="J28" s="7" t="s">
        <v>2363</v>
      </c>
      <c r="K28" s="7"/>
      <c r="L28" s="11" t="str">
        <f>HYPERLINK("http://slimages.macys.com/is/image/MCY/9927294 ")</f>
        <v xml:space="preserve">http://slimages.macys.com/is/image/MCY/9927294 </v>
      </c>
    </row>
    <row r="29" spans="1:12" ht="24.75" x14ac:dyDescent="0.25">
      <c r="A29" s="6" t="s">
        <v>1102</v>
      </c>
      <c r="B29" s="7" t="s">
        <v>1103</v>
      </c>
      <c r="C29" s="8">
        <v>1</v>
      </c>
      <c r="D29" s="9">
        <v>16.989999999999998</v>
      </c>
      <c r="E29" s="8">
        <v>48057</v>
      </c>
      <c r="F29" s="7" t="s">
        <v>2512</v>
      </c>
      <c r="G29" s="10" t="s">
        <v>2455</v>
      </c>
      <c r="H29" s="7" t="s">
        <v>2391</v>
      </c>
      <c r="I29" s="7" t="s">
        <v>2456</v>
      </c>
      <c r="J29" s="7" t="s">
        <v>2363</v>
      </c>
      <c r="K29" s="7" t="s">
        <v>2385</v>
      </c>
      <c r="L29" s="11" t="str">
        <f>HYPERLINK("http://slimages.macys.com/is/image/MCY/10010133 ")</f>
        <v xml:space="preserve">http://slimages.macys.com/is/image/MCY/10010133 </v>
      </c>
    </row>
    <row r="30" spans="1:12" ht="24.75" x14ac:dyDescent="0.25">
      <c r="A30" s="6" t="s">
        <v>1104</v>
      </c>
      <c r="B30" s="7" t="s">
        <v>1105</v>
      </c>
      <c r="C30" s="8">
        <v>4</v>
      </c>
      <c r="D30" s="9">
        <v>59.96</v>
      </c>
      <c r="E30" s="8">
        <v>38806</v>
      </c>
      <c r="F30" s="7" t="s">
        <v>2355</v>
      </c>
      <c r="G30" s="10"/>
      <c r="H30" s="7" t="s">
        <v>2391</v>
      </c>
      <c r="I30" s="7" t="s">
        <v>2456</v>
      </c>
      <c r="J30" s="7" t="s">
        <v>2363</v>
      </c>
      <c r="K30" s="7" t="s">
        <v>2385</v>
      </c>
      <c r="L30" s="11" t="str">
        <f>HYPERLINK("http://slimages.macys.com/is/image/MCY/10010027 ")</f>
        <v xml:space="preserve">http://slimages.macys.com/is/image/MCY/10010027 </v>
      </c>
    </row>
    <row r="31" spans="1:12" ht="24.75" x14ac:dyDescent="0.25">
      <c r="A31" s="6" t="s">
        <v>1106</v>
      </c>
      <c r="B31" s="7" t="s">
        <v>1107</v>
      </c>
      <c r="C31" s="8">
        <v>1</v>
      </c>
      <c r="D31" s="9">
        <v>29.99</v>
      </c>
      <c r="E31" s="8" t="s">
        <v>1108</v>
      </c>
      <c r="F31" s="7" t="s">
        <v>2475</v>
      </c>
      <c r="G31" s="10"/>
      <c r="H31" s="7" t="s">
        <v>2396</v>
      </c>
      <c r="I31" s="7" t="s">
        <v>2397</v>
      </c>
      <c r="J31" s="7" t="s">
        <v>2363</v>
      </c>
      <c r="K31" s="7" t="s">
        <v>2389</v>
      </c>
      <c r="L31" s="11" t="str">
        <f>HYPERLINK("http://slimages.macys.com/is/image/MCY/8447369 ")</f>
        <v xml:space="preserve">http://slimages.macys.com/is/image/MCY/8447369 </v>
      </c>
    </row>
    <row r="32" spans="1:12" ht="24.75" x14ac:dyDescent="0.25">
      <c r="A32" s="6" t="s">
        <v>1109</v>
      </c>
      <c r="B32" s="7" t="s">
        <v>1110</v>
      </c>
      <c r="C32" s="8">
        <v>2</v>
      </c>
      <c r="D32" s="9">
        <v>39.979999999999997</v>
      </c>
      <c r="E32" s="8" t="s">
        <v>1111</v>
      </c>
      <c r="F32" s="7" t="s">
        <v>2534</v>
      </c>
      <c r="G32" s="10"/>
      <c r="H32" s="7" t="s">
        <v>2391</v>
      </c>
      <c r="I32" s="7" t="s">
        <v>2926</v>
      </c>
      <c r="J32" s="7" t="s">
        <v>2363</v>
      </c>
      <c r="K32" s="7" t="s">
        <v>2371</v>
      </c>
      <c r="L32" s="11" t="str">
        <f>HYPERLINK("http://slimages.macys.com/is/image/MCY/11495338 ")</f>
        <v xml:space="preserve">http://slimages.macys.com/is/image/MCY/11495338 </v>
      </c>
    </row>
    <row r="33" spans="1:12" ht="24.75" x14ac:dyDescent="0.25">
      <c r="A33" s="6" t="s">
        <v>1112</v>
      </c>
      <c r="B33" s="7" t="s">
        <v>1113</v>
      </c>
      <c r="C33" s="8">
        <v>1</v>
      </c>
      <c r="D33" s="9">
        <v>9.99</v>
      </c>
      <c r="E33" s="8">
        <v>601657384010</v>
      </c>
      <c r="F33" s="7" t="s">
        <v>2623</v>
      </c>
      <c r="G33" s="10" t="s">
        <v>2463</v>
      </c>
      <c r="H33" s="7" t="s">
        <v>2420</v>
      </c>
      <c r="I33" s="7" t="s">
        <v>2907</v>
      </c>
      <c r="J33" s="7" t="s">
        <v>2363</v>
      </c>
      <c r="K33" s="7"/>
      <c r="L33" s="11" t="str">
        <f>HYPERLINK("http://slimages.macys.com/is/image/MCY/8710651 ")</f>
        <v xml:space="preserve">http://slimages.macys.com/is/image/MCY/8710651 </v>
      </c>
    </row>
    <row r="34" spans="1:12" ht="24.75" x14ac:dyDescent="0.25">
      <c r="A34" s="6" t="s">
        <v>1114</v>
      </c>
      <c r="B34" s="7" t="s">
        <v>1115</v>
      </c>
      <c r="C34" s="8">
        <v>2</v>
      </c>
      <c r="D34" s="9">
        <v>25.98</v>
      </c>
      <c r="E34" s="8" t="s">
        <v>1116</v>
      </c>
      <c r="F34" s="7" t="s">
        <v>2403</v>
      </c>
      <c r="G34" s="10" t="s">
        <v>2616</v>
      </c>
      <c r="H34" s="7" t="s">
        <v>2442</v>
      </c>
      <c r="I34" s="7" t="s">
        <v>2443</v>
      </c>
      <c r="J34" s="7" t="s">
        <v>2363</v>
      </c>
      <c r="K34" s="7" t="s">
        <v>2389</v>
      </c>
      <c r="L34" s="11" t="str">
        <f>HYPERLINK("http://slimages.macys.com/is/image/MCY/3639461 ")</f>
        <v xml:space="preserve">http://slimages.macys.com/is/image/MCY/3639461 </v>
      </c>
    </row>
    <row r="35" spans="1:12" ht="24.75" x14ac:dyDescent="0.25">
      <c r="A35" s="6" t="s">
        <v>1117</v>
      </c>
      <c r="B35" s="7" t="s">
        <v>1118</v>
      </c>
      <c r="C35" s="8">
        <v>3</v>
      </c>
      <c r="D35" s="9">
        <v>29.97</v>
      </c>
      <c r="E35" s="8" t="s">
        <v>2723</v>
      </c>
      <c r="F35" s="7" t="s">
        <v>2567</v>
      </c>
      <c r="G35" s="10" t="s">
        <v>2616</v>
      </c>
      <c r="H35" s="7" t="s">
        <v>2442</v>
      </c>
      <c r="I35" s="7" t="s">
        <v>2411</v>
      </c>
      <c r="J35" s="7" t="s">
        <v>2363</v>
      </c>
      <c r="K35" s="7"/>
      <c r="L35" s="11" t="str">
        <f>HYPERLINK("http://slimages.macys.com/is/image/MCY/12067377 ")</f>
        <v xml:space="preserve">http://slimages.macys.com/is/image/MCY/12067377 </v>
      </c>
    </row>
    <row r="36" spans="1:12" ht="24.75" x14ac:dyDescent="0.25">
      <c r="A36" s="6" t="s">
        <v>1119</v>
      </c>
      <c r="B36" s="7" t="s">
        <v>1120</v>
      </c>
      <c r="C36" s="8">
        <v>1</v>
      </c>
      <c r="D36" s="9">
        <v>7.99</v>
      </c>
      <c r="E36" s="8" t="s">
        <v>1121</v>
      </c>
      <c r="F36" s="7" t="s">
        <v>2403</v>
      </c>
      <c r="G36" s="10" t="s">
        <v>2463</v>
      </c>
      <c r="H36" s="7" t="s">
        <v>2442</v>
      </c>
      <c r="I36" s="7" t="s">
        <v>2443</v>
      </c>
      <c r="J36" s="7" t="s">
        <v>2363</v>
      </c>
      <c r="K36" s="7" t="s">
        <v>2389</v>
      </c>
      <c r="L36" s="11" t="str">
        <f>HYPERLINK("http://slimages.macys.com/is/image/MCY/3639461 ")</f>
        <v xml:space="preserve">http://slimages.macys.com/is/image/MCY/3639461 </v>
      </c>
    </row>
    <row r="37" spans="1:12" ht="24.75" x14ac:dyDescent="0.25">
      <c r="A37" s="6" t="s">
        <v>1122</v>
      </c>
      <c r="B37" s="7" t="s">
        <v>1123</v>
      </c>
      <c r="C37" s="8">
        <v>1</v>
      </c>
      <c r="D37" s="9">
        <v>27.99</v>
      </c>
      <c r="E37" s="8" t="s">
        <v>1124</v>
      </c>
      <c r="F37" s="7"/>
      <c r="G37" s="10"/>
      <c r="H37" s="7" t="s">
        <v>2369</v>
      </c>
      <c r="I37" s="7" t="s">
        <v>2975</v>
      </c>
      <c r="J37" s="7"/>
      <c r="K37" s="7"/>
      <c r="L37" s="11"/>
    </row>
    <row r="38" spans="1:12" ht="15" x14ac:dyDescent="0.25"/>
    <row r="39" spans="1:12" ht="15" x14ac:dyDescent="0.25"/>
    <row r="40" spans="1:12" ht="15" x14ac:dyDescent="0.25"/>
    <row r="41" spans="1:12" ht="15" x14ac:dyDescent="0.25"/>
    <row r="42" spans="1:12" ht="15" x14ac:dyDescent="0.25"/>
    <row r="43" spans="1:12" ht="15" x14ac:dyDescent="0.25"/>
    <row r="44" spans="1:12" ht="15" x14ac:dyDescent="0.25"/>
    <row r="45" spans="1:12" ht="15" x14ac:dyDescent="0.25"/>
    <row r="46" spans="1:12" ht="15" x14ac:dyDescent="0.25"/>
    <row r="47" spans="1:12" ht="15" x14ac:dyDescent="0.25"/>
    <row r="48" spans="1:12" ht="15" x14ac:dyDescent="0.25"/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85"/>
  <sheetViews>
    <sheetView topLeftCell="A25" workbookViewId="0">
      <selection activeCell="A59" sqref="A59"/>
    </sheetView>
  </sheetViews>
  <sheetFormatPr defaultRowHeight="39.950000000000003" customHeight="1" x14ac:dyDescent="0.25"/>
  <cols>
    <col min="1" max="1" width="14.28515625" customWidth="1"/>
    <col min="2" max="2" width="48.5703125" customWidth="1"/>
    <col min="3" max="3" width="15" customWidth="1"/>
    <col min="4" max="4" width="10.28515625" customWidth="1"/>
    <col min="5" max="5" width="15.425781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6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2350</v>
      </c>
      <c r="I1" s="5" t="s">
        <v>2351</v>
      </c>
      <c r="J1" s="5" t="s">
        <v>2352</v>
      </c>
      <c r="K1" s="5" t="s">
        <v>2353</v>
      </c>
      <c r="L1" s="5" t="s">
        <v>2354</v>
      </c>
    </row>
    <row r="2" spans="1:12" ht="24.75" x14ac:dyDescent="0.25">
      <c r="A2" s="6" t="s">
        <v>2954</v>
      </c>
      <c r="B2" s="7" t="s">
        <v>2955</v>
      </c>
      <c r="C2" s="8">
        <v>1</v>
      </c>
      <c r="D2" s="9">
        <v>249.99</v>
      </c>
      <c r="E2" s="8" t="s">
        <v>2956</v>
      </c>
      <c r="F2" s="7" t="s">
        <v>2600</v>
      </c>
      <c r="G2" s="10"/>
      <c r="H2" s="7" t="s">
        <v>2383</v>
      </c>
      <c r="I2" s="7" t="s">
        <v>2849</v>
      </c>
      <c r="J2" s="7" t="s">
        <v>2363</v>
      </c>
      <c r="K2" s="7" t="s">
        <v>2371</v>
      </c>
      <c r="L2" s="11" t="str">
        <f>HYPERLINK("http://slimages.macys.com/is/image/MCY/14749960 ")</f>
        <v xml:space="preserve">http://slimages.macys.com/is/image/MCY/14749960 </v>
      </c>
    </row>
    <row r="3" spans="1:12" ht="48.75" x14ac:dyDescent="0.25">
      <c r="A3" s="6" t="s">
        <v>3016</v>
      </c>
      <c r="B3" s="7" t="s">
        <v>3017</v>
      </c>
      <c r="C3" s="8">
        <v>1</v>
      </c>
      <c r="D3" s="9">
        <v>249.99</v>
      </c>
      <c r="E3" s="8" t="s">
        <v>3018</v>
      </c>
      <c r="F3" s="7" t="s">
        <v>2505</v>
      </c>
      <c r="G3" s="10"/>
      <c r="H3" s="7" t="s">
        <v>2357</v>
      </c>
      <c r="I3" s="7" t="s">
        <v>2593</v>
      </c>
      <c r="J3" s="7" t="s">
        <v>2363</v>
      </c>
      <c r="K3" s="7" t="s">
        <v>3019</v>
      </c>
      <c r="L3" s="11" t="str">
        <f>HYPERLINK("http://slimages.macys.com/is/image/MCY/12898898 ")</f>
        <v xml:space="preserve">http://slimages.macys.com/is/image/MCY/12898898 </v>
      </c>
    </row>
    <row r="4" spans="1:12" ht="48.75" x14ac:dyDescent="0.25">
      <c r="A4" s="6" t="s">
        <v>3020</v>
      </c>
      <c r="B4" s="7" t="s">
        <v>3021</v>
      </c>
      <c r="C4" s="8">
        <v>1</v>
      </c>
      <c r="D4" s="9">
        <v>137.99</v>
      </c>
      <c r="E4" s="8">
        <v>80518</v>
      </c>
      <c r="F4" s="7" t="s">
        <v>2355</v>
      </c>
      <c r="G4" s="10"/>
      <c r="H4" s="7" t="s">
        <v>2407</v>
      </c>
      <c r="I4" s="7" t="s">
        <v>2542</v>
      </c>
      <c r="J4" s="7" t="s">
        <v>2452</v>
      </c>
      <c r="K4" s="7" t="s">
        <v>3022</v>
      </c>
      <c r="L4" s="11" t="str">
        <f>HYPERLINK("http://slimages.macys.com/is/image/MCY/11531752 ")</f>
        <v xml:space="preserve">http://slimages.macys.com/is/image/MCY/11531752 </v>
      </c>
    </row>
    <row r="5" spans="1:12" ht="24.75" x14ac:dyDescent="0.25">
      <c r="A5" s="6" t="s">
        <v>3023</v>
      </c>
      <c r="B5" s="7" t="s">
        <v>3024</v>
      </c>
      <c r="C5" s="8">
        <v>1</v>
      </c>
      <c r="D5" s="9">
        <v>99.99</v>
      </c>
      <c r="E5" s="8" t="s">
        <v>3025</v>
      </c>
      <c r="F5" s="7" t="s">
        <v>2446</v>
      </c>
      <c r="G5" s="10" t="s">
        <v>2455</v>
      </c>
      <c r="H5" s="7" t="s">
        <v>2391</v>
      </c>
      <c r="I5" s="7" t="s">
        <v>2528</v>
      </c>
      <c r="J5" s="7" t="s">
        <v>2363</v>
      </c>
      <c r="K5" s="7" t="s">
        <v>2385</v>
      </c>
      <c r="L5" s="11" t="str">
        <f>HYPERLINK("http://slimages.macys.com/is/image/MCY/16494324 ")</f>
        <v xml:space="preserve">http://slimages.macys.com/is/image/MCY/16494324 </v>
      </c>
    </row>
    <row r="6" spans="1:12" ht="24.75" x14ac:dyDescent="0.25">
      <c r="A6" s="6" t="s">
        <v>3026</v>
      </c>
      <c r="B6" s="7" t="s">
        <v>3027</v>
      </c>
      <c r="C6" s="8">
        <v>1</v>
      </c>
      <c r="D6" s="9">
        <v>149.99</v>
      </c>
      <c r="E6" s="8" t="s">
        <v>2490</v>
      </c>
      <c r="F6" s="7" t="s">
        <v>2436</v>
      </c>
      <c r="G6" s="10"/>
      <c r="H6" s="7" t="s">
        <v>2396</v>
      </c>
      <c r="I6" s="7" t="s">
        <v>2397</v>
      </c>
      <c r="J6" s="7" t="s">
        <v>2363</v>
      </c>
      <c r="K6" s="7" t="s">
        <v>2491</v>
      </c>
      <c r="L6" s="11" t="str">
        <f>HYPERLINK("http://slimages.macys.com/is/image/MCY/14883564 ")</f>
        <v xml:space="preserve">http://slimages.macys.com/is/image/MCY/14883564 </v>
      </c>
    </row>
    <row r="7" spans="1:12" ht="24.75" x14ac:dyDescent="0.25">
      <c r="A7" s="6" t="s">
        <v>2732</v>
      </c>
      <c r="B7" s="7" t="s">
        <v>2733</v>
      </c>
      <c r="C7" s="8">
        <v>1</v>
      </c>
      <c r="D7" s="9">
        <v>49.99</v>
      </c>
      <c r="E7" s="8">
        <v>4403</v>
      </c>
      <c r="F7" s="7" t="s">
        <v>2355</v>
      </c>
      <c r="G7" s="10" t="s">
        <v>2356</v>
      </c>
      <c r="H7" s="7" t="s">
        <v>2447</v>
      </c>
      <c r="I7" s="7" t="s">
        <v>2448</v>
      </c>
      <c r="J7" s="7" t="s">
        <v>2363</v>
      </c>
      <c r="K7" s="7" t="s">
        <v>2734</v>
      </c>
      <c r="L7" s="11" t="str">
        <f>HYPERLINK("http://slimages.macys.com/is/image/MCY/9873929 ")</f>
        <v xml:space="preserve">http://slimages.macys.com/is/image/MCY/9873929 </v>
      </c>
    </row>
    <row r="8" spans="1:12" ht="24.75" x14ac:dyDescent="0.25">
      <c r="A8" s="6" t="s">
        <v>2589</v>
      </c>
      <c r="B8" s="7" t="s">
        <v>2590</v>
      </c>
      <c r="C8" s="8">
        <v>1</v>
      </c>
      <c r="D8" s="9">
        <v>99.99</v>
      </c>
      <c r="E8" s="8" t="s">
        <v>2591</v>
      </c>
      <c r="F8" s="7" t="s">
        <v>2475</v>
      </c>
      <c r="G8" s="10"/>
      <c r="H8" s="7" t="s">
        <v>2396</v>
      </c>
      <c r="I8" s="7" t="s">
        <v>2397</v>
      </c>
      <c r="J8" s="7" t="s">
        <v>2363</v>
      </c>
      <c r="K8" s="7" t="s">
        <v>2402</v>
      </c>
      <c r="L8" s="11" t="str">
        <f>HYPERLINK("http://slimages.macys.com/is/image/MCY/8433239 ")</f>
        <v xml:space="preserve">http://slimages.macys.com/is/image/MCY/8433239 </v>
      </c>
    </row>
    <row r="9" spans="1:12" ht="36.75" x14ac:dyDescent="0.25">
      <c r="A9" s="6" t="s">
        <v>3028</v>
      </c>
      <c r="B9" s="7" t="s">
        <v>3029</v>
      </c>
      <c r="C9" s="8">
        <v>1</v>
      </c>
      <c r="D9" s="9">
        <v>119.99</v>
      </c>
      <c r="E9" s="8" t="s">
        <v>3030</v>
      </c>
      <c r="F9" s="7" t="s">
        <v>2403</v>
      </c>
      <c r="G9" s="10"/>
      <c r="H9" s="7" t="s">
        <v>2400</v>
      </c>
      <c r="I9" s="7" t="s">
        <v>2411</v>
      </c>
      <c r="J9" s="7" t="s">
        <v>2363</v>
      </c>
      <c r="K9" s="7" t="s">
        <v>2412</v>
      </c>
      <c r="L9" s="11" t="str">
        <f>HYPERLINK("http://slimages.macys.com/is/image/MCY/14426327 ")</f>
        <v xml:space="preserve">http://slimages.macys.com/is/image/MCY/14426327 </v>
      </c>
    </row>
    <row r="10" spans="1:12" ht="24.75" x14ac:dyDescent="0.25">
      <c r="A10" s="6" t="s">
        <v>3031</v>
      </c>
      <c r="B10" s="7" t="s">
        <v>3032</v>
      </c>
      <c r="C10" s="8">
        <v>1</v>
      </c>
      <c r="D10" s="9">
        <v>44.99</v>
      </c>
      <c r="E10" s="8">
        <v>4402</v>
      </c>
      <c r="F10" s="7" t="s">
        <v>2355</v>
      </c>
      <c r="G10" s="10"/>
      <c r="H10" s="7" t="s">
        <v>2447</v>
      </c>
      <c r="I10" s="7" t="s">
        <v>2448</v>
      </c>
      <c r="J10" s="7" t="s">
        <v>2363</v>
      </c>
      <c r="K10" s="7"/>
      <c r="L10" s="11" t="str">
        <f>HYPERLINK("http://slimages.macys.com/is/image/MCY/9873929 ")</f>
        <v xml:space="preserve">http://slimages.macys.com/is/image/MCY/9873929 </v>
      </c>
    </row>
    <row r="11" spans="1:12" ht="24.75" x14ac:dyDescent="0.25">
      <c r="A11" s="6" t="s">
        <v>3033</v>
      </c>
      <c r="B11" s="7" t="s">
        <v>3034</v>
      </c>
      <c r="C11" s="8">
        <v>1</v>
      </c>
      <c r="D11" s="9">
        <v>69.989999999999995</v>
      </c>
      <c r="E11" s="8" t="s">
        <v>3035</v>
      </c>
      <c r="F11" s="7" t="s">
        <v>2615</v>
      </c>
      <c r="G11" s="10"/>
      <c r="H11" s="7" t="s">
        <v>2396</v>
      </c>
      <c r="I11" s="7" t="s">
        <v>2397</v>
      </c>
      <c r="J11" s="7" t="s">
        <v>2363</v>
      </c>
      <c r="K11" s="7" t="s">
        <v>2398</v>
      </c>
      <c r="L11" s="11" t="str">
        <f>HYPERLINK("http://slimages.macys.com/is/image/MCY/8433239 ")</f>
        <v xml:space="preserve">http://slimages.macys.com/is/image/MCY/8433239 </v>
      </c>
    </row>
    <row r="12" spans="1:12" ht="36.75" x14ac:dyDescent="0.25">
      <c r="A12" s="6" t="s">
        <v>3036</v>
      </c>
      <c r="B12" s="7" t="s">
        <v>3037</v>
      </c>
      <c r="C12" s="8">
        <v>1</v>
      </c>
      <c r="D12" s="9">
        <v>99.99</v>
      </c>
      <c r="E12" s="8" t="s">
        <v>3038</v>
      </c>
      <c r="F12" s="7" t="s">
        <v>2512</v>
      </c>
      <c r="G12" s="10" t="s">
        <v>2410</v>
      </c>
      <c r="H12" s="7" t="s">
        <v>2400</v>
      </c>
      <c r="I12" s="7" t="s">
        <v>2411</v>
      </c>
      <c r="J12" s="7" t="s">
        <v>2496</v>
      </c>
      <c r="K12" s="7" t="s">
        <v>3039</v>
      </c>
      <c r="L12" s="11" t="str">
        <f>HYPERLINK("http://slimages.macys.com/is/image/MCY/9935614 ")</f>
        <v xml:space="preserve">http://slimages.macys.com/is/image/MCY/9935614 </v>
      </c>
    </row>
    <row r="13" spans="1:12" ht="24.75" x14ac:dyDescent="0.25">
      <c r="A13" s="6" t="s">
        <v>3040</v>
      </c>
      <c r="B13" s="7" t="s">
        <v>3041</v>
      </c>
      <c r="C13" s="8">
        <v>1</v>
      </c>
      <c r="D13" s="9">
        <v>89.99</v>
      </c>
      <c r="E13" s="8" t="s">
        <v>3042</v>
      </c>
      <c r="F13" s="7" t="s">
        <v>2355</v>
      </c>
      <c r="G13" s="10"/>
      <c r="H13" s="7" t="s">
        <v>2535</v>
      </c>
      <c r="I13" s="7" t="s">
        <v>3043</v>
      </c>
      <c r="J13" s="7" t="s">
        <v>2363</v>
      </c>
      <c r="K13" s="7" t="s">
        <v>2782</v>
      </c>
      <c r="L13" s="11" t="str">
        <f>HYPERLINK("http://slimages.macys.com/is/image/MCY/15144360 ")</f>
        <v xml:space="preserve">http://slimages.macys.com/is/image/MCY/15144360 </v>
      </c>
    </row>
    <row r="14" spans="1:12" ht="24.75" x14ac:dyDescent="0.25">
      <c r="A14" s="6" t="s">
        <v>3044</v>
      </c>
      <c r="B14" s="7" t="s">
        <v>3045</v>
      </c>
      <c r="C14" s="8">
        <v>1</v>
      </c>
      <c r="D14" s="9">
        <v>59.99</v>
      </c>
      <c r="E14" s="8" t="s">
        <v>3046</v>
      </c>
      <c r="F14" s="7" t="s">
        <v>2495</v>
      </c>
      <c r="G14" s="10"/>
      <c r="H14" s="7" t="s">
        <v>2387</v>
      </c>
      <c r="I14" s="7" t="s">
        <v>2404</v>
      </c>
      <c r="J14" s="7" t="s">
        <v>2363</v>
      </c>
      <c r="K14" s="7" t="s">
        <v>2405</v>
      </c>
      <c r="L14" s="11" t="str">
        <f>HYPERLINK("http://slimages.macys.com/is/image/MCY/13036438 ")</f>
        <v xml:space="preserve">http://slimages.macys.com/is/image/MCY/13036438 </v>
      </c>
    </row>
    <row r="15" spans="1:12" ht="24.75" x14ac:dyDescent="0.25">
      <c r="A15" s="6" t="s">
        <v>3047</v>
      </c>
      <c r="B15" s="7" t="s">
        <v>3048</v>
      </c>
      <c r="C15" s="8">
        <v>1</v>
      </c>
      <c r="D15" s="9">
        <v>73.989999999999995</v>
      </c>
      <c r="E15" s="8" t="s">
        <v>3049</v>
      </c>
      <c r="F15" s="7" t="s">
        <v>3050</v>
      </c>
      <c r="G15" s="10"/>
      <c r="H15" s="7" t="s">
        <v>2391</v>
      </c>
      <c r="I15" s="7" t="s">
        <v>2661</v>
      </c>
      <c r="J15" s="7" t="s">
        <v>2363</v>
      </c>
      <c r="K15" s="7" t="s">
        <v>2385</v>
      </c>
      <c r="L15" s="11" t="str">
        <f>HYPERLINK("http://slimages.macys.com/is/image/MCY/10030690 ")</f>
        <v xml:space="preserve">http://slimages.macys.com/is/image/MCY/10030690 </v>
      </c>
    </row>
    <row r="16" spans="1:12" ht="24.75" x14ac:dyDescent="0.25">
      <c r="A16" s="6" t="s">
        <v>3051</v>
      </c>
      <c r="B16" s="7" t="s">
        <v>3052</v>
      </c>
      <c r="C16" s="8">
        <v>1</v>
      </c>
      <c r="D16" s="9">
        <v>49.99</v>
      </c>
      <c r="E16" s="8">
        <v>2000000035</v>
      </c>
      <c r="F16" s="7" t="s">
        <v>2512</v>
      </c>
      <c r="G16" s="10"/>
      <c r="H16" s="7" t="s">
        <v>2369</v>
      </c>
      <c r="I16" s="7" t="s">
        <v>2370</v>
      </c>
      <c r="J16" s="7"/>
      <c r="K16" s="7"/>
      <c r="L16" s="11" t="str">
        <f>HYPERLINK("http://slimages.macys.com/is/image/MCY/17814255 ")</f>
        <v xml:space="preserve">http://slimages.macys.com/is/image/MCY/17814255 </v>
      </c>
    </row>
    <row r="17" spans="1:12" ht="24.75" x14ac:dyDescent="0.25">
      <c r="A17" s="6" t="s">
        <v>3053</v>
      </c>
      <c r="B17" s="7" t="s">
        <v>3054</v>
      </c>
      <c r="C17" s="8">
        <v>1</v>
      </c>
      <c r="D17" s="9">
        <v>49.99</v>
      </c>
      <c r="E17" s="8" t="s">
        <v>3055</v>
      </c>
      <c r="F17" s="7" t="s">
        <v>2368</v>
      </c>
      <c r="G17" s="10"/>
      <c r="H17" s="7" t="s">
        <v>2369</v>
      </c>
      <c r="I17" s="7" t="s">
        <v>2370</v>
      </c>
      <c r="J17" s="7" t="s">
        <v>2363</v>
      </c>
      <c r="K17" s="7" t="s">
        <v>2385</v>
      </c>
      <c r="L17" s="11" t="str">
        <f>HYPERLINK("http://slimages.macys.com/is/image/MCY/8347198 ")</f>
        <v xml:space="preserve">http://slimages.macys.com/is/image/MCY/8347198 </v>
      </c>
    </row>
    <row r="18" spans="1:12" ht="24.75" x14ac:dyDescent="0.25">
      <c r="A18" s="6" t="s">
        <v>2959</v>
      </c>
      <c r="B18" s="7" t="s">
        <v>2960</v>
      </c>
      <c r="C18" s="8">
        <v>1</v>
      </c>
      <c r="D18" s="9">
        <v>54.99</v>
      </c>
      <c r="E18" s="8">
        <v>130412</v>
      </c>
      <c r="F18" s="7" t="s">
        <v>2379</v>
      </c>
      <c r="G18" s="10" t="s">
        <v>2356</v>
      </c>
      <c r="H18" s="7" t="s">
        <v>2447</v>
      </c>
      <c r="I18" s="7" t="s">
        <v>2448</v>
      </c>
      <c r="J18" s="7" t="s">
        <v>2363</v>
      </c>
      <c r="K18" s="7" t="s">
        <v>2385</v>
      </c>
      <c r="L18" s="11" t="str">
        <f>HYPERLINK("http://slimages.macys.com/is/image/MCY/15716697 ")</f>
        <v xml:space="preserve">http://slimages.macys.com/is/image/MCY/15716697 </v>
      </c>
    </row>
    <row r="19" spans="1:12" ht="24.75" x14ac:dyDescent="0.25">
      <c r="A19" s="6" t="s">
        <v>3056</v>
      </c>
      <c r="B19" s="7" t="s">
        <v>3057</v>
      </c>
      <c r="C19" s="8">
        <v>1</v>
      </c>
      <c r="D19" s="9">
        <v>44.99</v>
      </c>
      <c r="E19" s="8" t="s">
        <v>3058</v>
      </c>
      <c r="F19" s="7" t="s">
        <v>2495</v>
      </c>
      <c r="G19" s="10"/>
      <c r="H19" s="7" t="s">
        <v>2375</v>
      </c>
      <c r="I19" s="7" t="s">
        <v>2376</v>
      </c>
      <c r="J19" s="7"/>
      <c r="K19" s="7"/>
      <c r="L19" s="11" t="str">
        <f>HYPERLINK("http://slimages.macys.com/is/image/MCY/18513740 ")</f>
        <v xml:space="preserve">http://slimages.macys.com/is/image/MCY/18513740 </v>
      </c>
    </row>
    <row r="20" spans="1:12" ht="36.75" x14ac:dyDescent="0.25">
      <c r="A20" s="6" t="s">
        <v>3059</v>
      </c>
      <c r="B20" s="7" t="s">
        <v>3060</v>
      </c>
      <c r="C20" s="8">
        <v>1</v>
      </c>
      <c r="D20" s="9">
        <v>39.99</v>
      </c>
      <c r="E20" s="8">
        <v>130356</v>
      </c>
      <c r="F20" s="7" t="s">
        <v>2615</v>
      </c>
      <c r="G20" s="10"/>
      <c r="H20" s="7" t="s">
        <v>2447</v>
      </c>
      <c r="I20" s="7" t="s">
        <v>2448</v>
      </c>
      <c r="J20" s="7" t="s">
        <v>2363</v>
      </c>
      <c r="K20" s="7" t="s">
        <v>2663</v>
      </c>
      <c r="L20" s="11" t="str">
        <f>HYPERLINK("http://slimages.macys.com/is/image/MCY/3895749 ")</f>
        <v xml:space="preserve">http://slimages.macys.com/is/image/MCY/3895749 </v>
      </c>
    </row>
    <row r="21" spans="1:12" ht="24.75" x14ac:dyDescent="0.25">
      <c r="A21" s="6" t="s">
        <v>3061</v>
      </c>
      <c r="B21" s="7" t="s">
        <v>3062</v>
      </c>
      <c r="C21" s="8">
        <v>1</v>
      </c>
      <c r="D21" s="9">
        <v>39.99</v>
      </c>
      <c r="E21" s="8" t="s">
        <v>3063</v>
      </c>
      <c r="F21" s="7" t="s">
        <v>2436</v>
      </c>
      <c r="G21" s="10"/>
      <c r="H21" s="7" t="s">
        <v>2396</v>
      </c>
      <c r="I21" s="7" t="s">
        <v>2397</v>
      </c>
      <c r="J21" s="7" t="s">
        <v>2363</v>
      </c>
      <c r="K21" s="7"/>
      <c r="L21" s="11" t="str">
        <f>HYPERLINK("http://slimages.macys.com/is/image/MCY/8432521 ")</f>
        <v xml:space="preserve">http://slimages.macys.com/is/image/MCY/8432521 </v>
      </c>
    </row>
    <row r="22" spans="1:12" ht="24.75" x14ac:dyDescent="0.25">
      <c r="A22" s="6" t="s">
        <v>3064</v>
      </c>
      <c r="B22" s="7" t="s">
        <v>3065</v>
      </c>
      <c r="C22" s="8">
        <v>1</v>
      </c>
      <c r="D22" s="9">
        <v>37.99</v>
      </c>
      <c r="E22" s="8" t="s">
        <v>3066</v>
      </c>
      <c r="F22" s="7" t="s">
        <v>2399</v>
      </c>
      <c r="G22" s="10"/>
      <c r="H22" s="7" t="s">
        <v>2391</v>
      </c>
      <c r="I22" s="7" t="s">
        <v>3067</v>
      </c>
      <c r="J22" s="7" t="s">
        <v>2363</v>
      </c>
      <c r="K22" s="7" t="s">
        <v>2371</v>
      </c>
      <c r="L22" s="11" t="str">
        <f>HYPERLINK("http://slimages.macys.com/is/image/MCY/11685567 ")</f>
        <v xml:space="preserve">http://slimages.macys.com/is/image/MCY/11685567 </v>
      </c>
    </row>
    <row r="23" spans="1:12" ht="24.75" x14ac:dyDescent="0.25">
      <c r="A23" s="6" t="s">
        <v>3068</v>
      </c>
      <c r="B23" s="7" t="s">
        <v>3069</v>
      </c>
      <c r="C23" s="8">
        <v>2</v>
      </c>
      <c r="D23" s="9">
        <v>49.98</v>
      </c>
      <c r="E23" s="8" t="s">
        <v>3070</v>
      </c>
      <c r="F23" s="7" t="s">
        <v>2390</v>
      </c>
      <c r="G23" s="10"/>
      <c r="H23" s="7" t="s">
        <v>2391</v>
      </c>
      <c r="I23" s="7" t="s">
        <v>2409</v>
      </c>
      <c r="J23" s="7" t="s">
        <v>2363</v>
      </c>
      <c r="K23" s="7"/>
      <c r="L23" s="11" t="str">
        <f>HYPERLINK("http://slimages.macys.com/is/image/MCY/10010840 ")</f>
        <v xml:space="preserve">http://slimages.macys.com/is/image/MCY/10010840 </v>
      </c>
    </row>
    <row r="24" spans="1:12" ht="24.75" x14ac:dyDescent="0.25">
      <c r="A24" s="6" t="s">
        <v>3071</v>
      </c>
      <c r="B24" s="7" t="s">
        <v>3072</v>
      </c>
      <c r="C24" s="8">
        <v>2</v>
      </c>
      <c r="D24" s="9">
        <v>69.98</v>
      </c>
      <c r="E24" s="8" t="s">
        <v>2603</v>
      </c>
      <c r="F24" s="7" t="s">
        <v>2424</v>
      </c>
      <c r="G24" s="10"/>
      <c r="H24" s="7" t="s">
        <v>2375</v>
      </c>
      <c r="I24" s="7" t="s">
        <v>2376</v>
      </c>
      <c r="J24" s="7"/>
      <c r="K24" s="7"/>
      <c r="L24" s="11" t="str">
        <f>HYPERLINK("http://slimages.macys.com/is/image/MCY/17773190 ")</f>
        <v xml:space="preserve">http://slimages.macys.com/is/image/MCY/17773190 </v>
      </c>
    </row>
    <row r="25" spans="1:12" ht="24.75" x14ac:dyDescent="0.25">
      <c r="A25" s="6" t="s">
        <v>3073</v>
      </c>
      <c r="B25" s="7" t="s">
        <v>3074</v>
      </c>
      <c r="C25" s="8">
        <v>1</v>
      </c>
      <c r="D25" s="9">
        <v>34.99</v>
      </c>
      <c r="E25" s="8" t="s">
        <v>3075</v>
      </c>
      <c r="F25" s="7" t="s">
        <v>2495</v>
      </c>
      <c r="G25" s="10"/>
      <c r="H25" s="7" t="s">
        <v>2375</v>
      </c>
      <c r="I25" s="7" t="s">
        <v>2376</v>
      </c>
      <c r="J25" s="7"/>
      <c r="K25" s="7"/>
      <c r="L25" s="11" t="str">
        <f>HYPERLINK("http://slimages.macys.com/is/image/MCY/18513740 ")</f>
        <v xml:space="preserve">http://slimages.macys.com/is/image/MCY/18513740 </v>
      </c>
    </row>
    <row r="26" spans="1:12" ht="24.75" x14ac:dyDescent="0.25">
      <c r="A26" s="6" t="s">
        <v>3076</v>
      </c>
      <c r="B26" s="7" t="s">
        <v>3077</v>
      </c>
      <c r="C26" s="8">
        <v>1</v>
      </c>
      <c r="D26" s="9">
        <v>39.99</v>
      </c>
      <c r="E26" s="8" t="s">
        <v>3078</v>
      </c>
      <c r="F26" s="7" t="s">
        <v>2372</v>
      </c>
      <c r="G26" s="10"/>
      <c r="H26" s="7" t="s">
        <v>2396</v>
      </c>
      <c r="I26" s="7" t="s">
        <v>2397</v>
      </c>
      <c r="J26" s="7" t="s">
        <v>2363</v>
      </c>
      <c r="K26" s="7" t="s">
        <v>3003</v>
      </c>
      <c r="L26" s="11" t="str">
        <f>HYPERLINK("http://slimages.macys.com/is/image/MCY/8484844 ")</f>
        <v xml:space="preserve">http://slimages.macys.com/is/image/MCY/8484844 </v>
      </c>
    </row>
    <row r="27" spans="1:12" ht="24.75" x14ac:dyDescent="0.25">
      <c r="A27" s="6" t="s">
        <v>3007</v>
      </c>
      <c r="B27" s="7" t="s">
        <v>3008</v>
      </c>
      <c r="C27" s="8">
        <v>1</v>
      </c>
      <c r="D27" s="9">
        <v>17.989999999999998</v>
      </c>
      <c r="E27" s="8">
        <v>39401</v>
      </c>
      <c r="F27" s="7" t="s">
        <v>2355</v>
      </c>
      <c r="G27" s="10" t="s">
        <v>2539</v>
      </c>
      <c r="H27" s="7" t="s">
        <v>2407</v>
      </c>
      <c r="I27" s="7" t="s">
        <v>2542</v>
      </c>
      <c r="J27" s="7"/>
      <c r="K27" s="7"/>
      <c r="L27" s="11" t="str">
        <f>HYPERLINK("http://slimages.macys.com/is/image/MCY/18461838 ")</f>
        <v xml:space="preserve">http://slimages.macys.com/is/image/MCY/18461838 </v>
      </c>
    </row>
    <row r="28" spans="1:12" ht="24.75" x14ac:dyDescent="0.25">
      <c r="A28" s="6" t="s">
        <v>2810</v>
      </c>
      <c r="B28" s="7" t="s">
        <v>2811</v>
      </c>
      <c r="C28" s="8">
        <v>1</v>
      </c>
      <c r="D28" s="9">
        <v>15.99</v>
      </c>
      <c r="E28" s="8" t="s">
        <v>2812</v>
      </c>
      <c r="F28" s="7" t="s">
        <v>2355</v>
      </c>
      <c r="G28" s="10" t="s">
        <v>2469</v>
      </c>
      <c r="H28" s="7" t="s">
        <v>2407</v>
      </c>
      <c r="I28" s="7" t="s">
        <v>2678</v>
      </c>
      <c r="J28" s="7" t="s">
        <v>2795</v>
      </c>
      <c r="K28" s="7" t="s">
        <v>2813</v>
      </c>
      <c r="L28" s="11" t="str">
        <f>HYPERLINK("http://slimages.macys.com/is/image/MCY/16541166 ")</f>
        <v xml:space="preserve">http://slimages.macys.com/is/image/MCY/16541166 </v>
      </c>
    </row>
    <row r="29" spans="1:12" ht="24.75" x14ac:dyDescent="0.25">
      <c r="A29" s="6" t="s">
        <v>3079</v>
      </c>
      <c r="B29" s="7" t="s">
        <v>3080</v>
      </c>
      <c r="C29" s="8">
        <v>1</v>
      </c>
      <c r="D29" s="9">
        <v>3.99</v>
      </c>
      <c r="E29" s="8" t="s">
        <v>3081</v>
      </c>
      <c r="F29" s="7" t="s">
        <v>2457</v>
      </c>
      <c r="G29" s="10" t="s">
        <v>2441</v>
      </c>
      <c r="H29" s="7" t="s">
        <v>2420</v>
      </c>
      <c r="I29" s="7" t="s">
        <v>3082</v>
      </c>
      <c r="J29" s="7"/>
      <c r="K29" s="7"/>
      <c r="L29" s="11" t="str">
        <f>HYPERLINK("http://slimages.macys.com/is/image/MCY/18145997 ")</f>
        <v xml:space="preserve">http://slimages.macys.com/is/image/MCY/18145997 </v>
      </c>
    </row>
    <row r="30" spans="1:12" ht="24.75" x14ac:dyDescent="0.25">
      <c r="A30" s="6" t="s">
        <v>3083</v>
      </c>
      <c r="B30" s="7" t="s">
        <v>3084</v>
      </c>
      <c r="C30" s="8">
        <v>1</v>
      </c>
      <c r="D30" s="9">
        <v>3.99</v>
      </c>
      <c r="E30" s="8" t="s">
        <v>3085</v>
      </c>
      <c r="F30" s="7" t="s">
        <v>2446</v>
      </c>
      <c r="G30" s="10" t="s">
        <v>2441</v>
      </c>
      <c r="H30" s="7" t="s">
        <v>2420</v>
      </c>
      <c r="I30" s="7" t="s">
        <v>3082</v>
      </c>
      <c r="J30" s="7"/>
      <c r="K30" s="7"/>
      <c r="L30" s="11" t="str">
        <f>HYPERLINK("http://slimages.macys.com/is/image/MCY/18145997 ")</f>
        <v xml:space="preserve">http://slimages.macys.com/is/image/MCY/18145997 </v>
      </c>
    </row>
    <row r="31" spans="1:12" ht="24.75" x14ac:dyDescent="0.25">
      <c r="A31" s="6" t="s">
        <v>3086</v>
      </c>
      <c r="B31" s="7" t="s">
        <v>3087</v>
      </c>
      <c r="C31" s="8">
        <v>1</v>
      </c>
      <c r="D31" s="9">
        <v>3.99</v>
      </c>
      <c r="E31" s="8" t="s">
        <v>3088</v>
      </c>
      <c r="F31" s="7" t="s">
        <v>2477</v>
      </c>
      <c r="G31" s="10" t="s">
        <v>2441</v>
      </c>
      <c r="H31" s="7" t="s">
        <v>2420</v>
      </c>
      <c r="I31" s="7" t="s">
        <v>3082</v>
      </c>
      <c r="J31" s="7"/>
      <c r="K31" s="7"/>
      <c r="L31" s="11" t="str">
        <f>HYPERLINK("http://slimages.macys.com/is/image/MCY/18145997 ")</f>
        <v xml:space="preserve">http://slimages.macys.com/is/image/MCY/18145997 </v>
      </c>
    </row>
    <row r="32" spans="1:12" ht="24.75" x14ac:dyDescent="0.25">
      <c r="A32" s="6" t="s">
        <v>3089</v>
      </c>
      <c r="B32" s="7" t="s">
        <v>3090</v>
      </c>
      <c r="C32" s="8">
        <v>1</v>
      </c>
      <c r="D32" s="9">
        <v>78.11</v>
      </c>
      <c r="E32" s="8" t="s">
        <v>3091</v>
      </c>
      <c r="F32" s="7" t="s">
        <v>2534</v>
      </c>
      <c r="G32" s="10"/>
      <c r="H32" s="7" t="s">
        <v>2357</v>
      </c>
      <c r="I32" s="7" t="s">
        <v>2476</v>
      </c>
      <c r="J32" s="7"/>
      <c r="K32" s="7"/>
      <c r="L32" s="11"/>
    </row>
    <row r="33" spans="1:12" ht="24.75" x14ac:dyDescent="0.25">
      <c r="A33" s="6" t="s">
        <v>2466</v>
      </c>
      <c r="B33" s="7" t="s">
        <v>2467</v>
      </c>
      <c r="C33" s="8">
        <v>5</v>
      </c>
      <c r="D33" s="9">
        <v>200</v>
      </c>
      <c r="E33" s="8"/>
      <c r="F33" s="7" t="s">
        <v>2468</v>
      </c>
      <c r="G33" s="10" t="s">
        <v>2469</v>
      </c>
      <c r="H33" s="7" t="s">
        <v>2470</v>
      </c>
      <c r="I33" s="7" t="s">
        <v>2471</v>
      </c>
      <c r="J33" s="7"/>
      <c r="K33" s="7"/>
      <c r="L33" s="11"/>
    </row>
    <row r="34" spans="1:12" ht="24.75" x14ac:dyDescent="0.25">
      <c r="A34" s="6" t="s">
        <v>3092</v>
      </c>
      <c r="B34" s="7" t="s">
        <v>3093</v>
      </c>
      <c r="C34" s="8">
        <v>2</v>
      </c>
      <c r="D34" s="9">
        <v>63.98</v>
      </c>
      <c r="E34" s="8">
        <v>57866</v>
      </c>
      <c r="F34" s="7" t="s">
        <v>2506</v>
      </c>
      <c r="G34" s="10"/>
      <c r="H34" s="7" t="s">
        <v>2391</v>
      </c>
      <c r="I34" s="7" t="s">
        <v>2456</v>
      </c>
      <c r="J34" s="7"/>
      <c r="K34" s="7"/>
      <c r="L34" s="11"/>
    </row>
    <row r="35" spans="1:12" ht="24.75" x14ac:dyDescent="0.25">
      <c r="A35" s="6" t="s">
        <v>3094</v>
      </c>
      <c r="B35" s="7" t="s">
        <v>3095</v>
      </c>
      <c r="C35" s="8">
        <v>2</v>
      </c>
      <c r="D35" s="9">
        <v>47.98</v>
      </c>
      <c r="E35" s="8">
        <v>57845</v>
      </c>
      <c r="F35" s="7" t="s">
        <v>2506</v>
      </c>
      <c r="G35" s="10"/>
      <c r="H35" s="7" t="s">
        <v>2391</v>
      </c>
      <c r="I35" s="7" t="s">
        <v>2456</v>
      </c>
      <c r="J35" s="7"/>
      <c r="K35" s="7"/>
      <c r="L35" s="11"/>
    </row>
    <row r="36" spans="1:12" ht="24.75" x14ac:dyDescent="0.25">
      <c r="A36" s="6" t="s">
        <v>3096</v>
      </c>
      <c r="B36" s="7" t="s">
        <v>3097</v>
      </c>
      <c r="C36" s="8">
        <v>2</v>
      </c>
      <c r="D36" s="9">
        <v>45.98</v>
      </c>
      <c r="E36" s="8" t="s">
        <v>3098</v>
      </c>
      <c r="F36" s="7" t="s">
        <v>2386</v>
      </c>
      <c r="G36" s="10"/>
      <c r="H36" s="7" t="s">
        <v>2532</v>
      </c>
      <c r="I36" s="7" t="s">
        <v>2635</v>
      </c>
      <c r="J36" s="7"/>
      <c r="K36" s="7"/>
      <c r="L36" s="11"/>
    </row>
    <row r="37" spans="1:12" ht="24.75" x14ac:dyDescent="0.25">
      <c r="A37" s="6" t="s">
        <v>3099</v>
      </c>
      <c r="B37" s="7" t="s">
        <v>3100</v>
      </c>
      <c r="C37" s="8">
        <v>1</v>
      </c>
      <c r="D37" s="9">
        <v>14.99</v>
      </c>
      <c r="E37" s="8" t="s">
        <v>3101</v>
      </c>
      <c r="F37" s="7" t="s">
        <v>2454</v>
      </c>
      <c r="G37" s="10"/>
      <c r="H37" s="7" t="s">
        <v>2548</v>
      </c>
      <c r="I37" s="7" t="s">
        <v>2638</v>
      </c>
      <c r="J37" s="7"/>
      <c r="K37" s="7"/>
      <c r="L37" s="11"/>
    </row>
    <row r="38" spans="1:12" ht="15" x14ac:dyDescent="0.25"/>
    <row r="39" spans="1:12" ht="15" x14ac:dyDescent="0.25">
      <c r="C39" s="12">
        <f>SUM(C2:C38)</f>
        <v>45</v>
      </c>
      <c r="D39" s="13">
        <f>SUM(D2:D38)</f>
        <v>2606.7199999999989</v>
      </c>
    </row>
    <row r="40" spans="1:12" ht="15" x14ac:dyDescent="0.25"/>
    <row r="41" spans="1:12" ht="15" x14ac:dyDescent="0.25"/>
    <row r="42" spans="1:12" ht="15" x14ac:dyDescent="0.25"/>
    <row r="43" spans="1:12" ht="15" x14ac:dyDescent="0.25"/>
    <row r="44" spans="1:12" ht="15" x14ac:dyDescent="0.25"/>
    <row r="45" spans="1:12" ht="15" x14ac:dyDescent="0.25"/>
    <row r="46" spans="1:12" ht="15" x14ac:dyDescent="0.25"/>
    <row r="47" spans="1:12" ht="15" x14ac:dyDescent="0.25"/>
    <row r="48" spans="1:12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</sheetData>
  <phoneticPr fontId="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65"/>
  <sheetViews>
    <sheetView workbookViewId="0">
      <selection activeCell="B44" sqref="B44"/>
    </sheetView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2350</v>
      </c>
      <c r="I1" s="5" t="s">
        <v>2351</v>
      </c>
      <c r="J1" s="5" t="s">
        <v>2352</v>
      </c>
      <c r="K1" s="5" t="s">
        <v>2353</v>
      </c>
      <c r="L1" s="5" t="s">
        <v>2354</v>
      </c>
    </row>
    <row r="2" spans="1:12" ht="39.950000000000003" customHeight="1" x14ac:dyDescent="0.25">
      <c r="A2" s="6" t="s">
        <v>1125</v>
      </c>
      <c r="B2" s="7" t="s">
        <v>1126</v>
      </c>
      <c r="C2" s="8">
        <v>1</v>
      </c>
      <c r="D2" s="9">
        <v>379.99</v>
      </c>
      <c r="E2" s="8" t="s">
        <v>1127</v>
      </c>
      <c r="F2" s="7" t="s">
        <v>2534</v>
      </c>
      <c r="G2" s="10"/>
      <c r="H2" s="7" t="s">
        <v>2383</v>
      </c>
      <c r="I2" s="7" t="s">
        <v>2384</v>
      </c>
      <c r="J2" s="7" t="s">
        <v>2363</v>
      </c>
      <c r="K2" s="7" t="s">
        <v>2513</v>
      </c>
      <c r="L2" s="11" t="str">
        <f>HYPERLINK("http://slimages.macys.com/is/image/MCY/9418451 ")</f>
        <v xml:space="preserve">http://slimages.macys.com/is/image/MCY/9418451 </v>
      </c>
    </row>
    <row r="3" spans="1:12" ht="39.950000000000003" customHeight="1" x14ac:dyDescent="0.25">
      <c r="A3" s="6" t="s">
        <v>1128</v>
      </c>
      <c r="B3" s="7" t="s">
        <v>1129</v>
      </c>
      <c r="C3" s="8">
        <v>1</v>
      </c>
      <c r="D3" s="9">
        <v>384.99</v>
      </c>
      <c r="E3" s="8" t="s">
        <v>1130</v>
      </c>
      <c r="F3" s="7" t="s">
        <v>2355</v>
      </c>
      <c r="G3" s="10"/>
      <c r="H3" s="7" t="s">
        <v>2369</v>
      </c>
      <c r="I3" s="7" t="s">
        <v>2437</v>
      </c>
      <c r="J3" s="7" t="s">
        <v>2363</v>
      </c>
      <c r="K3" s="7" t="s">
        <v>2385</v>
      </c>
      <c r="L3" s="11" t="str">
        <f>HYPERLINK("http://slimages.macys.com/is/image/MCY/15503968 ")</f>
        <v xml:space="preserve">http://slimages.macys.com/is/image/MCY/15503968 </v>
      </c>
    </row>
    <row r="4" spans="1:12" ht="39.950000000000003" customHeight="1" x14ac:dyDescent="0.25">
      <c r="A4" s="6" t="s">
        <v>1131</v>
      </c>
      <c r="B4" s="7" t="s">
        <v>1132</v>
      </c>
      <c r="C4" s="8">
        <v>1</v>
      </c>
      <c r="D4" s="9">
        <v>370.99</v>
      </c>
      <c r="E4" s="8" t="s">
        <v>1133</v>
      </c>
      <c r="F4" s="7" t="s">
        <v>2355</v>
      </c>
      <c r="G4" s="10"/>
      <c r="H4" s="7" t="s">
        <v>2369</v>
      </c>
      <c r="I4" s="7" t="s">
        <v>2437</v>
      </c>
      <c r="J4" s="7" t="s">
        <v>2363</v>
      </c>
      <c r="K4" s="7" t="s">
        <v>2385</v>
      </c>
      <c r="L4" s="11" t="str">
        <f>HYPERLINK("http://slimages.macys.com/is/image/MCY/15504797 ")</f>
        <v xml:space="preserve">http://slimages.macys.com/is/image/MCY/15504797 </v>
      </c>
    </row>
    <row r="5" spans="1:12" ht="39.950000000000003" customHeight="1" x14ac:dyDescent="0.25">
      <c r="A5" s="6" t="s">
        <v>1134</v>
      </c>
      <c r="B5" s="7" t="s">
        <v>1135</v>
      </c>
      <c r="C5" s="8">
        <v>1</v>
      </c>
      <c r="D5" s="9">
        <v>292.99</v>
      </c>
      <c r="E5" s="8" t="s">
        <v>1136</v>
      </c>
      <c r="F5" s="7" t="s">
        <v>1796</v>
      </c>
      <c r="G5" s="10" t="s">
        <v>2356</v>
      </c>
      <c r="H5" s="7" t="s">
        <v>2369</v>
      </c>
      <c r="I5" s="7" t="s">
        <v>2374</v>
      </c>
      <c r="J5" s="7" t="s">
        <v>2363</v>
      </c>
      <c r="K5" s="7" t="s">
        <v>2385</v>
      </c>
      <c r="L5" s="11" t="str">
        <f>HYPERLINK("http://slimages.macys.com/is/image/MCY/11295952 ")</f>
        <v xml:space="preserve">http://slimages.macys.com/is/image/MCY/11295952 </v>
      </c>
    </row>
    <row r="6" spans="1:12" ht="39.950000000000003" customHeight="1" x14ac:dyDescent="0.25">
      <c r="A6" s="6" t="s">
        <v>1137</v>
      </c>
      <c r="B6" s="7" t="s">
        <v>1138</v>
      </c>
      <c r="C6" s="8">
        <v>2</v>
      </c>
      <c r="D6" s="9">
        <v>263.98</v>
      </c>
      <c r="E6" s="8" t="s">
        <v>1139</v>
      </c>
      <c r="F6" s="7" t="s">
        <v>2355</v>
      </c>
      <c r="G6" s="10" t="s">
        <v>2554</v>
      </c>
      <c r="H6" s="7" t="s">
        <v>2407</v>
      </c>
      <c r="I6" s="7" t="s">
        <v>1140</v>
      </c>
      <c r="J6" s="7" t="s">
        <v>2363</v>
      </c>
      <c r="K6" s="7" t="s">
        <v>2389</v>
      </c>
      <c r="L6" s="11" t="str">
        <f>HYPERLINK("http://slimages.macys.com/is/image/MCY/14926305 ")</f>
        <v xml:space="preserve">http://slimages.macys.com/is/image/MCY/14926305 </v>
      </c>
    </row>
    <row r="7" spans="1:12" ht="39.950000000000003" customHeight="1" x14ac:dyDescent="0.25">
      <c r="A7" s="6" t="s">
        <v>1141</v>
      </c>
      <c r="B7" s="7" t="s">
        <v>1142</v>
      </c>
      <c r="C7" s="8">
        <v>1</v>
      </c>
      <c r="D7" s="9">
        <v>149.99</v>
      </c>
      <c r="E7" s="8" t="s">
        <v>1143</v>
      </c>
      <c r="F7" s="7" t="s">
        <v>2355</v>
      </c>
      <c r="G7" s="10"/>
      <c r="H7" s="7" t="s">
        <v>2383</v>
      </c>
      <c r="I7" s="7" t="s">
        <v>2384</v>
      </c>
      <c r="J7" s="7" t="s">
        <v>2363</v>
      </c>
      <c r="K7" s="7" t="s">
        <v>2385</v>
      </c>
      <c r="L7" s="11" t="str">
        <f>HYPERLINK("http://slimages.macys.com/is/image/MCY/9312571 ")</f>
        <v xml:space="preserve">http://slimages.macys.com/is/image/MCY/9312571 </v>
      </c>
    </row>
    <row r="8" spans="1:12" ht="39.950000000000003" customHeight="1" x14ac:dyDescent="0.25">
      <c r="A8" s="6" t="s">
        <v>1144</v>
      </c>
      <c r="B8" s="7" t="s">
        <v>1145</v>
      </c>
      <c r="C8" s="8">
        <v>1</v>
      </c>
      <c r="D8" s="9">
        <v>108.99</v>
      </c>
      <c r="E8" s="8" t="s">
        <v>1146</v>
      </c>
      <c r="F8" s="7" t="s">
        <v>2355</v>
      </c>
      <c r="G8" s="10"/>
      <c r="H8" s="7" t="s">
        <v>2407</v>
      </c>
      <c r="I8" s="7" t="s">
        <v>2661</v>
      </c>
      <c r="J8" s="7" t="s">
        <v>2363</v>
      </c>
      <c r="K8" s="7" t="s">
        <v>2168</v>
      </c>
      <c r="L8" s="11" t="str">
        <f>HYPERLINK("http://slimages.macys.com/is/image/MCY/14399192 ")</f>
        <v xml:space="preserve">http://slimages.macys.com/is/image/MCY/14399192 </v>
      </c>
    </row>
    <row r="9" spans="1:12" ht="39.950000000000003" customHeight="1" x14ac:dyDescent="0.25">
      <c r="A9" s="6" t="s">
        <v>1147</v>
      </c>
      <c r="B9" s="7" t="s">
        <v>1148</v>
      </c>
      <c r="C9" s="8">
        <v>1</v>
      </c>
      <c r="D9" s="9">
        <v>128.99</v>
      </c>
      <c r="E9" s="8" t="s">
        <v>1149</v>
      </c>
      <c r="F9" s="7" t="s">
        <v>2495</v>
      </c>
      <c r="G9" s="10" t="s">
        <v>2356</v>
      </c>
      <c r="H9" s="7" t="s">
        <v>2369</v>
      </c>
      <c r="I9" s="7" t="s">
        <v>2374</v>
      </c>
      <c r="J9" s="7" t="s">
        <v>2363</v>
      </c>
      <c r="K9" s="7" t="s">
        <v>2385</v>
      </c>
      <c r="L9" s="11" t="str">
        <f>HYPERLINK("http://slimages.macys.com/is/image/MCY/12230086 ")</f>
        <v xml:space="preserve">http://slimages.macys.com/is/image/MCY/12230086 </v>
      </c>
    </row>
    <row r="10" spans="1:12" ht="39.950000000000003" customHeight="1" x14ac:dyDescent="0.25">
      <c r="A10" s="6" t="s">
        <v>1150</v>
      </c>
      <c r="B10" s="7" t="s">
        <v>1151</v>
      </c>
      <c r="C10" s="8">
        <v>1</v>
      </c>
      <c r="D10" s="9">
        <v>99.99</v>
      </c>
      <c r="E10" s="8" t="s">
        <v>1152</v>
      </c>
      <c r="F10" s="7" t="s">
        <v>2377</v>
      </c>
      <c r="G10" s="10"/>
      <c r="H10" s="7" t="s">
        <v>2369</v>
      </c>
      <c r="I10" s="7" t="s">
        <v>1683</v>
      </c>
      <c r="J10" s="7" t="s">
        <v>2363</v>
      </c>
      <c r="K10" s="7" t="s">
        <v>2421</v>
      </c>
      <c r="L10" s="11" t="str">
        <f>HYPERLINK("http://slimages.macys.com/is/image/MCY/16651478 ")</f>
        <v xml:space="preserve">http://slimages.macys.com/is/image/MCY/16651478 </v>
      </c>
    </row>
    <row r="11" spans="1:12" ht="39.950000000000003" customHeight="1" x14ac:dyDescent="0.25">
      <c r="A11" s="6" t="s">
        <v>1153</v>
      </c>
      <c r="B11" s="7" t="s">
        <v>1154</v>
      </c>
      <c r="C11" s="8">
        <v>1</v>
      </c>
      <c r="D11" s="9">
        <v>99.99</v>
      </c>
      <c r="E11" s="8" t="s">
        <v>1155</v>
      </c>
      <c r="F11" s="7" t="s">
        <v>2419</v>
      </c>
      <c r="G11" s="10"/>
      <c r="H11" s="7" t="s">
        <v>2422</v>
      </c>
      <c r="I11" s="7" t="s">
        <v>2526</v>
      </c>
      <c r="J11" s="7" t="s">
        <v>2496</v>
      </c>
      <c r="K11" s="7" t="s">
        <v>2444</v>
      </c>
      <c r="L11" s="11" t="str">
        <f>HYPERLINK("http://slimages.macys.com/is/image/MCY/3663820 ")</f>
        <v xml:space="preserve">http://slimages.macys.com/is/image/MCY/3663820 </v>
      </c>
    </row>
    <row r="12" spans="1:12" ht="39.950000000000003" customHeight="1" x14ac:dyDescent="0.25">
      <c r="A12" s="6" t="s">
        <v>1156</v>
      </c>
      <c r="B12" s="7" t="s">
        <v>1157</v>
      </c>
      <c r="C12" s="8">
        <v>1</v>
      </c>
      <c r="D12" s="9">
        <v>94.99</v>
      </c>
      <c r="E12" s="8" t="s">
        <v>1158</v>
      </c>
      <c r="F12" s="7" t="s">
        <v>2419</v>
      </c>
      <c r="G12" s="10"/>
      <c r="H12" s="7" t="s">
        <v>2369</v>
      </c>
      <c r="I12" s="7" t="s">
        <v>2559</v>
      </c>
      <c r="J12" s="7"/>
      <c r="K12" s="7"/>
      <c r="L12" s="11" t="str">
        <f>HYPERLINK("http://slimages.macys.com/is/image/MCY/17390996 ")</f>
        <v xml:space="preserve">http://slimages.macys.com/is/image/MCY/17390996 </v>
      </c>
    </row>
    <row r="13" spans="1:12" ht="39.950000000000003" customHeight="1" x14ac:dyDescent="0.25">
      <c r="A13" s="6" t="s">
        <v>1159</v>
      </c>
      <c r="B13" s="7" t="s">
        <v>1160</v>
      </c>
      <c r="C13" s="8">
        <v>1</v>
      </c>
      <c r="D13" s="9">
        <v>99.99</v>
      </c>
      <c r="E13" s="8" t="s">
        <v>1161</v>
      </c>
      <c r="F13" s="7" t="s">
        <v>2567</v>
      </c>
      <c r="G13" s="10"/>
      <c r="H13" s="7" t="s">
        <v>2369</v>
      </c>
      <c r="I13" s="7" t="s">
        <v>2409</v>
      </c>
      <c r="J13" s="7" t="s">
        <v>2363</v>
      </c>
      <c r="K13" s="7" t="s">
        <v>1162</v>
      </c>
      <c r="L13" s="11" t="str">
        <f>HYPERLINK("http://slimages.macys.com/is/image/MCY/9446180 ")</f>
        <v xml:space="preserve">http://slimages.macys.com/is/image/MCY/9446180 </v>
      </c>
    </row>
    <row r="14" spans="1:12" ht="39.950000000000003" customHeight="1" x14ac:dyDescent="0.25">
      <c r="A14" s="6" t="s">
        <v>1163</v>
      </c>
      <c r="B14" s="7" t="s">
        <v>1164</v>
      </c>
      <c r="C14" s="8">
        <v>1</v>
      </c>
      <c r="D14" s="9">
        <v>48.38</v>
      </c>
      <c r="E14" s="8" t="s">
        <v>1165</v>
      </c>
      <c r="F14" s="7" t="s">
        <v>2558</v>
      </c>
      <c r="G14" s="10"/>
      <c r="H14" s="7" t="s">
        <v>2369</v>
      </c>
      <c r="I14" s="7" t="s">
        <v>2409</v>
      </c>
      <c r="J14" s="7"/>
      <c r="K14" s="7"/>
      <c r="L14" s="11" t="str">
        <f>HYPERLINK("http://slimages.macys.com/is/image/MCY/17561816 ")</f>
        <v xml:space="preserve">http://slimages.macys.com/is/image/MCY/17561816 </v>
      </c>
    </row>
    <row r="15" spans="1:12" ht="39.950000000000003" customHeight="1" x14ac:dyDescent="0.25">
      <c r="A15" s="6" t="s">
        <v>1166</v>
      </c>
      <c r="B15" s="7" t="s">
        <v>1167</v>
      </c>
      <c r="C15" s="8">
        <v>1</v>
      </c>
      <c r="D15" s="9">
        <v>69.989999999999995</v>
      </c>
      <c r="E15" s="8" t="s">
        <v>1168</v>
      </c>
      <c r="F15" s="7" t="s">
        <v>2386</v>
      </c>
      <c r="G15" s="10"/>
      <c r="H15" s="7" t="s">
        <v>2383</v>
      </c>
      <c r="I15" s="7" t="s">
        <v>2384</v>
      </c>
      <c r="J15" s="7" t="s">
        <v>2363</v>
      </c>
      <c r="K15" s="7"/>
      <c r="L15" s="11" t="str">
        <f>HYPERLINK("http://slimages.macys.com/is/image/MCY/9353166 ")</f>
        <v xml:space="preserve">http://slimages.macys.com/is/image/MCY/9353166 </v>
      </c>
    </row>
    <row r="16" spans="1:12" ht="39.950000000000003" customHeight="1" x14ac:dyDescent="0.25">
      <c r="A16" s="6" t="s">
        <v>1169</v>
      </c>
      <c r="B16" s="7" t="s">
        <v>1170</v>
      </c>
      <c r="C16" s="8">
        <v>1</v>
      </c>
      <c r="D16" s="9">
        <v>59.99</v>
      </c>
      <c r="E16" s="8" t="s">
        <v>1171</v>
      </c>
      <c r="F16" s="7" t="s">
        <v>2368</v>
      </c>
      <c r="G16" s="10"/>
      <c r="H16" s="7" t="s">
        <v>2432</v>
      </c>
      <c r="I16" s="7" t="s">
        <v>2433</v>
      </c>
      <c r="J16" s="7" t="s">
        <v>2363</v>
      </c>
      <c r="K16" s="7" t="s">
        <v>2389</v>
      </c>
      <c r="L16" s="11" t="str">
        <f>HYPERLINK("http://slimages.macys.com/is/image/MCY/10672584 ")</f>
        <v xml:space="preserve">http://slimages.macys.com/is/image/MCY/10672584 </v>
      </c>
    </row>
    <row r="17" spans="1:12" ht="39.950000000000003" customHeight="1" x14ac:dyDescent="0.25">
      <c r="A17" s="6" t="s">
        <v>2841</v>
      </c>
      <c r="B17" s="7" t="s">
        <v>2842</v>
      </c>
      <c r="C17" s="8">
        <v>1</v>
      </c>
      <c r="D17" s="9">
        <v>69.989999999999995</v>
      </c>
      <c r="E17" s="8" t="s">
        <v>2843</v>
      </c>
      <c r="F17" s="7" t="s">
        <v>2362</v>
      </c>
      <c r="G17" s="10"/>
      <c r="H17" s="7" t="s">
        <v>2357</v>
      </c>
      <c r="I17" s="7" t="s">
        <v>2358</v>
      </c>
      <c r="J17" s="7" t="s">
        <v>2363</v>
      </c>
      <c r="K17" s="7" t="s">
        <v>2367</v>
      </c>
      <c r="L17" s="11" t="str">
        <f>HYPERLINK("http://slimages.macys.com/is/image/MCY/9621143 ")</f>
        <v xml:space="preserve">http://slimages.macys.com/is/image/MCY/9621143 </v>
      </c>
    </row>
    <row r="18" spans="1:12" ht="39.950000000000003" customHeight="1" x14ac:dyDescent="0.25">
      <c r="A18" s="6" t="s">
        <v>1172</v>
      </c>
      <c r="B18" s="7" t="s">
        <v>1173</v>
      </c>
      <c r="C18" s="8">
        <v>1</v>
      </c>
      <c r="D18" s="9">
        <v>49.99</v>
      </c>
      <c r="E18" s="8">
        <v>15831138</v>
      </c>
      <c r="F18" s="7" t="s">
        <v>2454</v>
      </c>
      <c r="G18" s="10"/>
      <c r="H18" s="7" t="s">
        <v>2432</v>
      </c>
      <c r="I18" s="7" t="s">
        <v>2605</v>
      </c>
      <c r="J18" s="7" t="s">
        <v>2363</v>
      </c>
      <c r="K18" s="7" t="s">
        <v>1174</v>
      </c>
      <c r="L18" s="11" t="str">
        <f>HYPERLINK("http://slimages.macys.com/is/image/MCY/3073694 ")</f>
        <v xml:space="preserve">http://slimages.macys.com/is/image/MCY/3073694 </v>
      </c>
    </row>
    <row r="19" spans="1:12" ht="39.950000000000003" customHeight="1" x14ac:dyDescent="0.25">
      <c r="A19" s="6" t="s">
        <v>1175</v>
      </c>
      <c r="B19" s="7" t="s">
        <v>1176</v>
      </c>
      <c r="C19" s="8">
        <v>4</v>
      </c>
      <c r="D19" s="9">
        <v>179.96</v>
      </c>
      <c r="E19" s="8" t="s">
        <v>1177</v>
      </c>
      <c r="F19" s="7" t="s">
        <v>2372</v>
      </c>
      <c r="G19" s="10"/>
      <c r="H19" s="7" t="s">
        <v>2391</v>
      </c>
      <c r="I19" s="7" t="s">
        <v>2409</v>
      </c>
      <c r="J19" s="7" t="s">
        <v>2363</v>
      </c>
      <c r="K19" s="7"/>
      <c r="L19" s="11" t="str">
        <f>HYPERLINK("http://slimages.macys.com/is/image/MCY/9310362 ")</f>
        <v xml:space="preserve">http://slimages.macys.com/is/image/MCY/9310362 </v>
      </c>
    </row>
    <row r="20" spans="1:12" ht="39.950000000000003" customHeight="1" x14ac:dyDescent="0.25">
      <c r="A20" s="6" t="s">
        <v>1178</v>
      </c>
      <c r="B20" s="7" t="s">
        <v>1179</v>
      </c>
      <c r="C20" s="8">
        <v>1</v>
      </c>
      <c r="D20" s="9">
        <v>79.989999999999995</v>
      </c>
      <c r="E20" s="8" t="s">
        <v>1180</v>
      </c>
      <c r="F20" s="7" t="s">
        <v>2355</v>
      </c>
      <c r="G20" s="10"/>
      <c r="H20" s="7" t="s">
        <v>2357</v>
      </c>
      <c r="I20" s="7" t="s">
        <v>2593</v>
      </c>
      <c r="J20" s="7" t="s">
        <v>2363</v>
      </c>
      <c r="K20" s="7" t="s">
        <v>1181</v>
      </c>
      <c r="L20" s="11" t="str">
        <f>HYPERLINK("http://slimages.macys.com/is/image/MCY/9320893 ")</f>
        <v xml:space="preserve">http://slimages.macys.com/is/image/MCY/9320893 </v>
      </c>
    </row>
    <row r="21" spans="1:12" ht="39.950000000000003" customHeight="1" x14ac:dyDescent="0.25">
      <c r="A21" s="6" t="s">
        <v>1182</v>
      </c>
      <c r="B21" s="7" t="s">
        <v>1183</v>
      </c>
      <c r="C21" s="8">
        <v>1</v>
      </c>
      <c r="D21" s="9">
        <v>38.99</v>
      </c>
      <c r="E21" s="8" t="s">
        <v>1184</v>
      </c>
      <c r="F21" s="7" t="s">
        <v>2355</v>
      </c>
      <c r="G21" s="10"/>
      <c r="H21" s="7" t="s">
        <v>2391</v>
      </c>
      <c r="I21" s="7" t="s">
        <v>2409</v>
      </c>
      <c r="J21" s="7" t="s">
        <v>2363</v>
      </c>
      <c r="K21" s="7" t="s">
        <v>2385</v>
      </c>
      <c r="L21" s="11" t="str">
        <f>HYPERLINK("http://slimages.macys.com/is/image/MCY/8216566 ")</f>
        <v xml:space="preserve">http://slimages.macys.com/is/image/MCY/8216566 </v>
      </c>
    </row>
    <row r="22" spans="1:12" ht="39.950000000000003" customHeight="1" x14ac:dyDescent="0.25">
      <c r="A22" s="6" t="s">
        <v>1185</v>
      </c>
      <c r="B22" s="7" t="s">
        <v>1186</v>
      </c>
      <c r="C22" s="8">
        <v>1</v>
      </c>
      <c r="D22" s="9">
        <v>49.99</v>
      </c>
      <c r="E22" s="8" t="s">
        <v>1187</v>
      </c>
      <c r="F22" s="7"/>
      <c r="G22" s="10" t="s">
        <v>2501</v>
      </c>
      <c r="H22" s="7" t="s">
        <v>2383</v>
      </c>
      <c r="I22" s="7" t="s">
        <v>2849</v>
      </c>
      <c r="J22" s="7" t="s">
        <v>2363</v>
      </c>
      <c r="K22" s="7" t="s">
        <v>2371</v>
      </c>
      <c r="L22" s="11" t="str">
        <f>HYPERLINK("http://slimages.macys.com/is/image/MCY/11012503 ")</f>
        <v xml:space="preserve">http://slimages.macys.com/is/image/MCY/11012503 </v>
      </c>
    </row>
    <row r="23" spans="1:12" ht="39.950000000000003" customHeight="1" x14ac:dyDescent="0.25">
      <c r="A23" s="6" t="s">
        <v>1188</v>
      </c>
      <c r="B23" s="7" t="s">
        <v>1189</v>
      </c>
      <c r="C23" s="8">
        <v>1</v>
      </c>
      <c r="D23" s="9">
        <v>49.99</v>
      </c>
      <c r="E23" s="8" t="s">
        <v>1190</v>
      </c>
      <c r="F23" s="7" t="s">
        <v>2355</v>
      </c>
      <c r="G23" s="10"/>
      <c r="H23" s="7" t="s">
        <v>2375</v>
      </c>
      <c r="I23" s="7" t="s">
        <v>2376</v>
      </c>
      <c r="J23" s="7" t="s">
        <v>2363</v>
      </c>
      <c r="K23" s="7"/>
      <c r="L23" s="11" t="str">
        <f>HYPERLINK("http://slimages.macys.com/is/image/MCY/16633342 ")</f>
        <v xml:space="preserve">http://slimages.macys.com/is/image/MCY/16633342 </v>
      </c>
    </row>
    <row r="24" spans="1:12" ht="39.950000000000003" customHeight="1" x14ac:dyDescent="0.25">
      <c r="A24" s="6" t="s">
        <v>1191</v>
      </c>
      <c r="B24" s="7" t="s">
        <v>1192</v>
      </c>
      <c r="C24" s="8">
        <v>1</v>
      </c>
      <c r="D24" s="9">
        <v>39.99</v>
      </c>
      <c r="E24" s="8" t="s">
        <v>1193</v>
      </c>
      <c r="F24" s="7" t="s">
        <v>2558</v>
      </c>
      <c r="G24" s="10"/>
      <c r="H24" s="7" t="s">
        <v>2535</v>
      </c>
      <c r="I24" s="7" t="s">
        <v>2641</v>
      </c>
      <c r="J24" s="7" t="s">
        <v>2363</v>
      </c>
      <c r="K24" s="7" t="s">
        <v>2808</v>
      </c>
      <c r="L24" s="11" t="str">
        <f>HYPERLINK("http://slimages.macys.com/is/image/MCY/16059461 ")</f>
        <v xml:space="preserve">http://slimages.macys.com/is/image/MCY/16059461 </v>
      </c>
    </row>
    <row r="25" spans="1:12" ht="39.950000000000003" customHeight="1" x14ac:dyDescent="0.25">
      <c r="A25" s="6" t="s">
        <v>1194</v>
      </c>
      <c r="B25" s="7" t="s">
        <v>1195</v>
      </c>
      <c r="C25" s="8">
        <v>2</v>
      </c>
      <c r="D25" s="9">
        <v>79.98</v>
      </c>
      <c r="E25" s="8" t="s">
        <v>1196</v>
      </c>
      <c r="F25" s="7" t="s">
        <v>2512</v>
      </c>
      <c r="G25" s="10"/>
      <c r="H25" s="7" t="s">
        <v>2391</v>
      </c>
      <c r="I25" s="7" t="s">
        <v>657</v>
      </c>
      <c r="J25" s="7" t="s">
        <v>2363</v>
      </c>
      <c r="K25" s="7" t="s">
        <v>1197</v>
      </c>
      <c r="L25" s="11" t="str">
        <f>HYPERLINK("http://slimages.macys.com/is/image/MCY/896370 ")</f>
        <v xml:space="preserve">http://slimages.macys.com/is/image/MCY/896370 </v>
      </c>
    </row>
    <row r="26" spans="1:12" ht="39.950000000000003" customHeight="1" x14ac:dyDescent="0.25">
      <c r="A26" s="6" t="s">
        <v>1198</v>
      </c>
      <c r="B26" s="7" t="s">
        <v>1199</v>
      </c>
      <c r="C26" s="8">
        <v>2</v>
      </c>
      <c r="D26" s="9">
        <v>79.98</v>
      </c>
      <c r="E26" s="8" t="s">
        <v>1200</v>
      </c>
      <c r="F26" s="7" t="s">
        <v>2457</v>
      </c>
      <c r="G26" s="10"/>
      <c r="H26" s="7" t="s">
        <v>2391</v>
      </c>
      <c r="I26" s="7" t="s">
        <v>657</v>
      </c>
      <c r="J26" s="7" t="s">
        <v>2363</v>
      </c>
      <c r="K26" s="7" t="s">
        <v>1197</v>
      </c>
      <c r="L26" s="11" t="str">
        <f>HYPERLINK("http://slimages.macys.com/is/image/MCY/896370 ")</f>
        <v xml:space="preserve">http://slimages.macys.com/is/image/MCY/896370 </v>
      </c>
    </row>
    <row r="27" spans="1:12" ht="39.950000000000003" customHeight="1" x14ac:dyDescent="0.25">
      <c r="A27" s="6" t="s">
        <v>1201</v>
      </c>
      <c r="B27" s="7" t="s">
        <v>1202</v>
      </c>
      <c r="C27" s="8">
        <v>1</v>
      </c>
      <c r="D27" s="9">
        <v>30.99</v>
      </c>
      <c r="E27" s="8" t="s">
        <v>1203</v>
      </c>
      <c r="F27" s="7" t="s">
        <v>2386</v>
      </c>
      <c r="G27" s="10"/>
      <c r="H27" s="7" t="s">
        <v>2391</v>
      </c>
      <c r="I27" s="7" t="s">
        <v>2653</v>
      </c>
      <c r="J27" s="7" t="s">
        <v>2363</v>
      </c>
      <c r="K27" s="7" t="s">
        <v>2662</v>
      </c>
      <c r="L27" s="11" t="str">
        <f>HYPERLINK("http://slimages.macys.com/is/image/MCY/12224686 ")</f>
        <v xml:space="preserve">http://slimages.macys.com/is/image/MCY/12224686 </v>
      </c>
    </row>
    <row r="28" spans="1:12" ht="39.950000000000003" customHeight="1" x14ac:dyDescent="0.25">
      <c r="A28" s="6" t="s">
        <v>1204</v>
      </c>
      <c r="B28" s="7" t="s">
        <v>1205</v>
      </c>
      <c r="C28" s="8">
        <v>1</v>
      </c>
      <c r="D28" s="9">
        <v>34.99</v>
      </c>
      <c r="E28" s="8" t="s">
        <v>1206</v>
      </c>
      <c r="F28" s="7" t="s">
        <v>2446</v>
      </c>
      <c r="G28" s="10"/>
      <c r="H28" s="7" t="s">
        <v>2535</v>
      </c>
      <c r="I28" s="7" t="s">
        <v>2409</v>
      </c>
      <c r="J28" s="7" t="s">
        <v>2363</v>
      </c>
      <c r="K28" s="7"/>
      <c r="L28" s="11" t="str">
        <f>HYPERLINK("http://slimages.macys.com/is/image/MCY/8830305 ")</f>
        <v xml:space="preserve">http://slimages.macys.com/is/image/MCY/8830305 </v>
      </c>
    </row>
    <row r="29" spans="1:12" ht="39.950000000000003" customHeight="1" x14ac:dyDescent="0.25">
      <c r="A29" s="6" t="s">
        <v>1207</v>
      </c>
      <c r="B29" s="7" t="s">
        <v>1208</v>
      </c>
      <c r="C29" s="8">
        <v>1</v>
      </c>
      <c r="D29" s="9">
        <v>24.99</v>
      </c>
      <c r="E29" s="8" t="s">
        <v>1209</v>
      </c>
      <c r="F29" s="7" t="s">
        <v>2381</v>
      </c>
      <c r="G29" s="10" t="s">
        <v>2932</v>
      </c>
      <c r="H29" s="7" t="s">
        <v>2391</v>
      </c>
      <c r="I29" s="7" t="s">
        <v>2409</v>
      </c>
      <c r="J29" s="7" t="s">
        <v>2363</v>
      </c>
      <c r="K29" s="7" t="s">
        <v>1210</v>
      </c>
      <c r="L29" s="11" t="str">
        <f>HYPERLINK("http://slimages.macys.com/is/image/MCY/9602350 ")</f>
        <v xml:space="preserve">http://slimages.macys.com/is/image/MCY/9602350 </v>
      </c>
    </row>
    <row r="30" spans="1:12" ht="39.950000000000003" customHeight="1" x14ac:dyDescent="0.25">
      <c r="A30" s="6" t="s">
        <v>1211</v>
      </c>
      <c r="B30" s="7" t="s">
        <v>1212</v>
      </c>
      <c r="C30" s="8">
        <v>1</v>
      </c>
      <c r="D30" s="9">
        <v>27.99</v>
      </c>
      <c r="E30" s="8" t="s">
        <v>1213</v>
      </c>
      <c r="F30" s="7" t="s">
        <v>2368</v>
      </c>
      <c r="G30" s="10"/>
      <c r="H30" s="7" t="s">
        <v>2391</v>
      </c>
      <c r="I30" s="7" t="s">
        <v>3067</v>
      </c>
      <c r="J30" s="7" t="s">
        <v>2363</v>
      </c>
      <c r="K30" s="7" t="s">
        <v>2371</v>
      </c>
      <c r="L30" s="11" t="str">
        <f>HYPERLINK("http://slimages.macys.com/is/image/MCY/11685139 ")</f>
        <v xml:space="preserve">http://slimages.macys.com/is/image/MCY/11685139 </v>
      </c>
    </row>
    <row r="31" spans="1:12" ht="39.950000000000003" customHeight="1" x14ac:dyDescent="0.25">
      <c r="A31" s="6" t="s">
        <v>1214</v>
      </c>
      <c r="B31" s="7" t="s">
        <v>1215</v>
      </c>
      <c r="C31" s="8">
        <v>1</v>
      </c>
      <c r="D31" s="9">
        <v>15.99</v>
      </c>
      <c r="E31" s="8">
        <v>601555424024</v>
      </c>
      <c r="F31" s="7" t="s">
        <v>2355</v>
      </c>
      <c r="G31" s="10" t="s">
        <v>2441</v>
      </c>
      <c r="H31" s="7" t="s">
        <v>2420</v>
      </c>
      <c r="I31" s="7" t="s">
        <v>2907</v>
      </c>
      <c r="J31" s="7" t="s">
        <v>2363</v>
      </c>
      <c r="K31" s="7" t="s">
        <v>2389</v>
      </c>
      <c r="L31" s="11" t="str">
        <f>HYPERLINK("http://slimages.macys.com/is/image/MCY/2844654 ")</f>
        <v xml:space="preserve">http://slimages.macys.com/is/image/MCY/2844654 </v>
      </c>
    </row>
    <row r="32" spans="1:12" ht="39.950000000000003" customHeight="1" x14ac:dyDescent="0.25">
      <c r="A32" s="6" t="s">
        <v>1216</v>
      </c>
      <c r="B32" s="7" t="s">
        <v>1217</v>
      </c>
      <c r="C32" s="8">
        <v>1</v>
      </c>
      <c r="D32" s="9">
        <v>25.99</v>
      </c>
      <c r="E32" s="8" t="s">
        <v>1218</v>
      </c>
      <c r="F32" s="7" t="s">
        <v>2457</v>
      </c>
      <c r="G32" s="10" t="s">
        <v>2824</v>
      </c>
      <c r="H32" s="7" t="s">
        <v>2369</v>
      </c>
      <c r="I32" s="7" t="s">
        <v>2748</v>
      </c>
      <c r="J32" s="7" t="s">
        <v>2363</v>
      </c>
      <c r="K32" s="7" t="s">
        <v>2497</v>
      </c>
      <c r="L32" s="11" t="str">
        <f>HYPERLINK("http://slimages.macys.com/is/image/MCY/13743874 ")</f>
        <v xml:space="preserve">http://slimages.macys.com/is/image/MCY/13743874 </v>
      </c>
    </row>
    <row r="33" spans="1:12" ht="39.950000000000003" customHeight="1" x14ac:dyDescent="0.25">
      <c r="A33" s="6" t="s">
        <v>1219</v>
      </c>
      <c r="B33" s="7" t="s">
        <v>1220</v>
      </c>
      <c r="C33" s="8">
        <v>1</v>
      </c>
      <c r="D33" s="9">
        <v>25.99</v>
      </c>
      <c r="E33" s="8" t="s">
        <v>1221</v>
      </c>
      <c r="F33" s="7" t="s">
        <v>2446</v>
      </c>
      <c r="G33" s="10" t="s">
        <v>2824</v>
      </c>
      <c r="H33" s="7" t="s">
        <v>2369</v>
      </c>
      <c r="I33" s="7" t="s">
        <v>2748</v>
      </c>
      <c r="J33" s="7" t="s">
        <v>2363</v>
      </c>
      <c r="K33" s="7" t="s">
        <v>2497</v>
      </c>
      <c r="L33" s="11" t="str">
        <f>HYPERLINK("http://slimages.macys.com/is/image/MCY/13743874 ")</f>
        <v xml:space="preserve">http://slimages.macys.com/is/image/MCY/13743874 </v>
      </c>
    </row>
    <row r="34" spans="1:12" ht="39.950000000000003" customHeight="1" x14ac:dyDescent="0.25">
      <c r="A34" s="6" t="s">
        <v>1222</v>
      </c>
      <c r="B34" s="7" t="s">
        <v>1223</v>
      </c>
      <c r="C34" s="8">
        <v>1</v>
      </c>
      <c r="D34" s="9">
        <v>25.99</v>
      </c>
      <c r="E34" s="8" t="s">
        <v>1224</v>
      </c>
      <c r="F34" s="7" t="s">
        <v>2495</v>
      </c>
      <c r="G34" s="10" t="s">
        <v>2824</v>
      </c>
      <c r="H34" s="7" t="s">
        <v>2369</v>
      </c>
      <c r="I34" s="7" t="s">
        <v>2748</v>
      </c>
      <c r="J34" s="7" t="s">
        <v>2363</v>
      </c>
      <c r="K34" s="7" t="s">
        <v>2497</v>
      </c>
      <c r="L34" s="11" t="str">
        <f>HYPERLINK("http://slimages.macys.com/is/image/MCY/13743874 ")</f>
        <v xml:space="preserve">http://slimages.macys.com/is/image/MCY/13743874 </v>
      </c>
    </row>
    <row r="35" spans="1:12" ht="39.950000000000003" customHeight="1" x14ac:dyDescent="0.25">
      <c r="A35" s="6" t="s">
        <v>1225</v>
      </c>
      <c r="B35" s="7" t="s">
        <v>1226</v>
      </c>
      <c r="C35" s="8">
        <v>1</v>
      </c>
      <c r="D35" s="9">
        <v>16.989999999999998</v>
      </c>
      <c r="E35" s="8" t="s">
        <v>1227</v>
      </c>
      <c r="F35" s="7" t="s">
        <v>2475</v>
      </c>
      <c r="G35" s="10" t="s">
        <v>2616</v>
      </c>
      <c r="H35" s="7" t="s">
        <v>2442</v>
      </c>
      <c r="I35" s="7" t="s">
        <v>2443</v>
      </c>
      <c r="J35" s="7" t="s">
        <v>2363</v>
      </c>
      <c r="K35" s="7" t="s">
        <v>2389</v>
      </c>
      <c r="L35" s="11" t="str">
        <f>HYPERLINK("http://slimages.macys.com/is/image/MCY/3821086 ")</f>
        <v xml:space="preserve">http://slimages.macys.com/is/image/MCY/3821086 </v>
      </c>
    </row>
    <row r="36" spans="1:12" ht="39.950000000000003" customHeight="1" x14ac:dyDescent="0.25">
      <c r="A36" s="6" t="s">
        <v>1228</v>
      </c>
      <c r="B36" s="7" t="s">
        <v>1229</v>
      </c>
      <c r="C36" s="8">
        <v>2</v>
      </c>
      <c r="D36" s="9">
        <v>59.98</v>
      </c>
      <c r="E36" s="8" t="s">
        <v>1230</v>
      </c>
      <c r="F36" s="7" t="s">
        <v>2368</v>
      </c>
      <c r="G36" s="10"/>
      <c r="H36" s="7" t="s">
        <v>2375</v>
      </c>
      <c r="I36" s="7" t="s">
        <v>2376</v>
      </c>
      <c r="J36" s="7"/>
      <c r="K36" s="7"/>
      <c r="L36" s="11" t="str">
        <f>HYPERLINK("http://slimages.macys.com/is/image/MCY/17025636 ")</f>
        <v xml:space="preserve">http://slimages.macys.com/is/image/MCY/17025636 </v>
      </c>
    </row>
    <row r="37" spans="1:12" ht="39.950000000000003" customHeight="1" x14ac:dyDescent="0.25">
      <c r="A37" s="6" t="s">
        <v>567</v>
      </c>
      <c r="B37" s="7" t="s">
        <v>568</v>
      </c>
      <c r="C37" s="8">
        <v>2</v>
      </c>
      <c r="D37" s="9">
        <v>41.98</v>
      </c>
      <c r="E37" s="8" t="s">
        <v>569</v>
      </c>
      <c r="F37" s="7" t="s">
        <v>2495</v>
      </c>
      <c r="G37" s="10"/>
      <c r="H37" s="7" t="s">
        <v>2369</v>
      </c>
      <c r="I37" s="7" t="s">
        <v>2748</v>
      </c>
      <c r="J37" s="7" t="s">
        <v>2363</v>
      </c>
      <c r="K37" s="7" t="s">
        <v>2654</v>
      </c>
      <c r="L37" s="11" t="str">
        <f>HYPERLINK("http://slimages.macys.com/is/image/MCY/13743089 ")</f>
        <v xml:space="preserve">http://slimages.macys.com/is/image/MCY/13743089 </v>
      </c>
    </row>
    <row r="38" spans="1:12" ht="39.950000000000003" customHeight="1" x14ac:dyDescent="0.25">
      <c r="A38" s="6" t="s">
        <v>1944</v>
      </c>
      <c r="B38" s="7" t="s">
        <v>1945</v>
      </c>
      <c r="C38" s="8">
        <v>1</v>
      </c>
      <c r="D38" s="9">
        <v>19.989999999999998</v>
      </c>
      <c r="E38" s="8" t="s">
        <v>1946</v>
      </c>
      <c r="F38" s="7" t="s">
        <v>2615</v>
      </c>
      <c r="G38" s="10" t="s">
        <v>1947</v>
      </c>
      <c r="H38" s="7" t="s">
        <v>2391</v>
      </c>
      <c r="I38" s="7" t="s">
        <v>2926</v>
      </c>
      <c r="J38" s="7" t="s">
        <v>2363</v>
      </c>
      <c r="K38" s="7" t="s">
        <v>2371</v>
      </c>
      <c r="L38" s="11" t="str">
        <f>HYPERLINK("http://slimages.macys.com/is/image/MCY/12265629 ")</f>
        <v xml:space="preserve">http://slimages.macys.com/is/image/MCY/12265629 </v>
      </c>
    </row>
    <row r="39" spans="1:12" ht="39.950000000000003" customHeight="1" x14ac:dyDescent="0.25">
      <c r="A39" s="6" t="s">
        <v>1231</v>
      </c>
      <c r="B39" s="7" t="s">
        <v>1232</v>
      </c>
      <c r="C39" s="8">
        <v>1</v>
      </c>
      <c r="D39" s="9">
        <v>8.99</v>
      </c>
      <c r="E39" s="8" t="s">
        <v>1233</v>
      </c>
      <c r="F39" s="7" t="s">
        <v>2446</v>
      </c>
      <c r="G39" s="10" t="s">
        <v>2441</v>
      </c>
      <c r="H39" s="7" t="s">
        <v>2420</v>
      </c>
      <c r="I39" s="7" t="s">
        <v>2409</v>
      </c>
      <c r="J39" s="7" t="s">
        <v>2363</v>
      </c>
      <c r="K39" s="7" t="s">
        <v>2640</v>
      </c>
      <c r="L39" s="11" t="str">
        <f>HYPERLINK("http://slimages.macys.com/is/image/MCY/14722950 ")</f>
        <v xml:space="preserve">http://slimages.macys.com/is/image/MCY/14722950 </v>
      </c>
    </row>
    <row r="40" spans="1:12" ht="39.950000000000003" customHeight="1" x14ac:dyDescent="0.25">
      <c r="A40" s="6" t="s">
        <v>1234</v>
      </c>
      <c r="B40" s="7" t="s">
        <v>1235</v>
      </c>
      <c r="C40" s="8">
        <v>6</v>
      </c>
      <c r="D40" s="9">
        <v>47.94</v>
      </c>
      <c r="E40" s="8" t="s">
        <v>1236</v>
      </c>
      <c r="F40" s="7" t="s">
        <v>2435</v>
      </c>
      <c r="G40" s="10" t="s">
        <v>2441</v>
      </c>
      <c r="H40" s="7" t="s">
        <v>2420</v>
      </c>
      <c r="I40" s="7" t="s">
        <v>2433</v>
      </c>
      <c r="J40" s="7"/>
      <c r="K40" s="7"/>
      <c r="L40" s="11" t="str">
        <f>HYPERLINK("http://slimages.macys.com/is/image/MCY/3491432 ")</f>
        <v xml:space="preserve">http://slimages.macys.com/is/image/MCY/3491432 </v>
      </c>
    </row>
    <row r="41" spans="1:12" ht="39.950000000000003" customHeight="1" x14ac:dyDescent="0.25">
      <c r="A41" s="6" t="s">
        <v>1237</v>
      </c>
      <c r="B41" s="7" t="s">
        <v>1238</v>
      </c>
      <c r="C41" s="8">
        <v>1</v>
      </c>
      <c r="D41" s="9">
        <v>9.99</v>
      </c>
      <c r="E41" s="8" t="s">
        <v>1239</v>
      </c>
      <c r="F41" s="7" t="s">
        <v>2355</v>
      </c>
      <c r="G41" s="10"/>
      <c r="H41" s="7" t="s">
        <v>2369</v>
      </c>
      <c r="I41" s="7" t="s">
        <v>2409</v>
      </c>
      <c r="J41" s="7" t="s">
        <v>2363</v>
      </c>
      <c r="K41" s="7" t="s">
        <v>3262</v>
      </c>
      <c r="L41" s="11" t="str">
        <f>HYPERLINK("http://slimages.macys.com/is/image/MCY/15503035 ")</f>
        <v xml:space="preserve">http://slimages.macys.com/is/image/MCY/15503035 </v>
      </c>
    </row>
    <row r="42" spans="1:12" ht="39.950000000000003" customHeight="1" x14ac:dyDescent="0.25">
      <c r="A42" s="6" t="s">
        <v>1240</v>
      </c>
      <c r="B42" s="7" t="s">
        <v>1241</v>
      </c>
      <c r="C42" s="8">
        <v>2</v>
      </c>
      <c r="D42" s="9">
        <v>25.98</v>
      </c>
      <c r="E42" s="8">
        <v>1001228300</v>
      </c>
      <c r="F42" s="7" t="s">
        <v>2446</v>
      </c>
      <c r="G42" s="10" t="s">
        <v>2616</v>
      </c>
      <c r="H42" s="7" t="s">
        <v>2442</v>
      </c>
      <c r="I42" s="7" t="s">
        <v>2443</v>
      </c>
      <c r="J42" s="7" t="s">
        <v>2363</v>
      </c>
      <c r="K42" s="7" t="s">
        <v>2421</v>
      </c>
      <c r="L42" s="11" t="str">
        <f>HYPERLINK("http://slimages.macys.com/is/image/MCY/13079193 ")</f>
        <v xml:space="preserve">http://slimages.macys.com/is/image/MCY/13079193 </v>
      </c>
    </row>
    <row r="43" spans="1:12" ht="39.950000000000003" customHeight="1" x14ac:dyDescent="0.25">
      <c r="A43" s="6" t="s">
        <v>576</v>
      </c>
      <c r="B43" s="7" t="s">
        <v>577</v>
      </c>
      <c r="C43" s="8">
        <v>1</v>
      </c>
      <c r="D43" s="9">
        <v>11.99</v>
      </c>
      <c r="E43" s="8">
        <v>1005082900</v>
      </c>
      <c r="F43" s="7" t="s">
        <v>2424</v>
      </c>
      <c r="G43" s="10" t="s">
        <v>2616</v>
      </c>
      <c r="H43" s="7" t="s">
        <v>2442</v>
      </c>
      <c r="I43" s="7" t="s">
        <v>2411</v>
      </c>
      <c r="J43" s="7" t="s">
        <v>2363</v>
      </c>
      <c r="K43" s="7" t="s">
        <v>2640</v>
      </c>
      <c r="L43" s="11" t="str">
        <f>HYPERLINK("http://slimages.macys.com/is/image/MCY/11709707 ")</f>
        <v xml:space="preserve">http://slimages.macys.com/is/image/MCY/11709707 </v>
      </c>
    </row>
    <row r="44" spans="1:12" ht="39.950000000000003" customHeight="1" x14ac:dyDescent="0.25">
      <c r="A44" s="6" t="s">
        <v>1242</v>
      </c>
      <c r="B44" s="7" t="s">
        <v>1243</v>
      </c>
      <c r="C44" s="8">
        <v>2</v>
      </c>
      <c r="D44" s="9">
        <v>19.98</v>
      </c>
      <c r="E44" s="8">
        <v>1003699200</v>
      </c>
      <c r="F44" s="7" t="s">
        <v>2362</v>
      </c>
      <c r="G44" s="10" t="s">
        <v>2616</v>
      </c>
      <c r="H44" s="7" t="s">
        <v>2442</v>
      </c>
      <c r="I44" s="7" t="s">
        <v>2411</v>
      </c>
      <c r="J44" s="7" t="s">
        <v>2363</v>
      </c>
      <c r="K44" s="7" t="s">
        <v>2640</v>
      </c>
      <c r="L44" s="11" t="str">
        <f>HYPERLINK("http://slimages.macys.com/is/image/MCY/11480133 ")</f>
        <v xml:space="preserve">http://slimages.macys.com/is/image/MCY/11480133 </v>
      </c>
    </row>
    <row r="45" spans="1:12" ht="39.950000000000003" customHeight="1" x14ac:dyDescent="0.25">
      <c r="A45" s="6" t="s">
        <v>1244</v>
      </c>
      <c r="B45" s="7" t="s">
        <v>1245</v>
      </c>
      <c r="C45" s="8">
        <v>1</v>
      </c>
      <c r="D45" s="9">
        <v>9.99</v>
      </c>
      <c r="E45" s="8">
        <v>1002300400</v>
      </c>
      <c r="F45" s="7" t="s">
        <v>2454</v>
      </c>
      <c r="G45" s="10" t="s">
        <v>2616</v>
      </c>
      <c r="H45" s="7" t="s">
        <v>2442</v>
      </c>
      <c r="I45" s="7" t="s">
        <v>2411</v>
      </c>
      <c r="J45" s="7" t="s">
        <v>2363</v>
      </c>
      <c r="K45" s="7" t="s">
        <v>2421</v>
      </c>
      <c r="L45" s="11" t="str">
        <f>HYPERLINK("http://slimages.macys.com/is/image/MCY/9837807 ")</f>
        <v xml:space="preserve">http://slimages.macys.com/is/image/MCY/9837807 </v>
      </c>
    </row>
    <row r="46" spans="1:12" ht="39.950000000000003" customHeight="1" x14ac:dyDescent="0.25">
      <c r="A46" s="6" t="s">
        <v>1246</v>
      </c>
      <c r="B46" s="7" t="s">
        <v>1247</v>
      </c>
      <c r="C46" s="8">
        <v>1</v>
      </c>
      <c r="D46" s="9">
        <v>9.99</v>
      </c>
      <c r="E46" s="8">
        <v>1003699200</v>
      </c>
      <c r="F46" s="7" t="s">
        <v>2417</v>
      </c>
      <c r="G46" s="10" t="s">
        <v>2616</v>
      </c>
      <c r="H46" s="7" t="s">
        <v>2442</v>
      </c>
      <c r="I46" s="7" t="s">
        <v>2411</v>
      </c>
      <c r="J46" s="7" t="s">
        <v>2363</v>
      </c>
      <c r="K46" s="7" t="s">
        <v>2640</v>
      </c>
      <c r="L46" s="11" t="str">
        <f>HYPERLINK("http://slimages.macys.com/is/image/MCY/11480133 ")</f>
        <v xml:space="preserve">http://slimages.macys.com/is/image/MCY/11480133 </v>
      </c>
    </row>
    <row r="47" spans="1:12" ht="39.950000000000003" customHeight="1" x14ac:dyDescent="0.25">
      <c r="A47" s="6" t="s">
        <v>1248</v>
      </c>
      <c r="B47" s="7" t="s">
        <v>1249</v>
      </c>
      <c r="C47" s="8">
        <v>1</v>
      </c>
      <c r="D47" s="9">
        <v>14.99</v>
      </c>
      <c r="E47" s="8">
        <v>1001233000</v>
      </c>
      <c r="F47" s="7" t="s">
        <v>2475</v>
      </c>
      <c r="G47" s="10" t="s">
        <v>2616</v>
      </c>
      <c r="H47" s="7" t="s">
        <v>2442</v>
      </c>
      <c r="I47" s="7" t="s">
        <v>2443</v>
      </c>
      <c r="J47" s="7" t="s">
        <v>2363</v>
      </c>
      <c r="K47" s="7"/>
      <c r="L47" s="11" t="str">
        <f>HYPERLINK("http://slimages.macys.com/is/image/MCY/9369374 ")</f>
        <v xml:space="preserve">http://slimages.macys.com/is/image/MCY/9369374 </v>
      </c>
    </row>
    <row r="48" spans="1:12" ht="39.950000000000003" customHeight="1" x14ac:dyDescent="0.25">
      <c r="A48" s="6" t="s">
        <v>1250</v>
      </c>
      <c r="B48" s="7" t="s">
        <v>1251</v>
      </c>
      <c r="C48" s="8">
        <v>2</v>
      </c>
      <c r="D48" s="9">
        <v>15.98</v>
      </c>
      <c r="E48" s="8">
        <v>100454800</v>
      </c>
      <c r="F48" s="7" t="s">
        <v>2446</v>
      </c>
      <c r="G48" s="10" t="s">
        <v>2463</v>
      </c>
      <c r="H48" s="7" t="s">
        <v>2442</v>
      </c>
      <c r="I48" s="7" t="s">
        <v>2443</v>
      </c>
      <c r="J48" s="7" t="s">
        <v>2363</v>
      </c>
      <c r="K48" s="7" t="s">
        <v>2421</v>
      </c>
      <c r="L48" s="11" t="str">
        <f>HYPERLINK("http://slimages.macys.com/is/image/MCY/11396262 ")</f>
        <v xml:space="preserve">http://slimages.macys.com/is/image/MCY/11396262 </v>
      </c>
    </row>
    <row r="49" spans="1:12" ht="39.950000000000003" customHeight="1" x14ac:dyDescent="0.25">
      <c r="A49" s="6" t="s">
        <v>1252</v>
      </c>
      <c r="B49" s="7" t="s">
        <v>1253</v>
      </c>
      <c r="C49" s="8">
        <v>7</v>
      </c>
      <c r="D49" s="9">
        <v>55.93</v>
      </c>
      <c r="E49" s="8">
        <v>100454800</v>
      </c>
      <c r="F49" s="7" t="s">
        <v>2368</v>
      </c>
      <c r="G49" s="10" t="s">
        <v>2463</v>
      </c>
      <c r="H49" s="7" t="s">
        <v>2442</v>
      </c>
      <c r="I49" s="7" t="s">
        <v>2443</v>
      </c>
      <c r="J49" s="7" t="s">
        <v>2363</v>
      </c>
      <c r="K49" s="7" t="s">
        <v>2421</v>
      </c>
      <c r="L49" s="11" t="str">
        <f>HYPERLINK("http://slimages.macys.com/is/image/MCY/11396262 ")</f>
        <v xml:space="preserve">http://slimages.macys.com/is/image/MCY/11396262 </v>
      </c>
    </row>
    <row r="50" spans="1:12" ht="39.950000000000003" customHeight="1" x14ac:dyDescent="0.25">
      <c r="A50" s="6" t="s">
        <v>1254</v>
      </c>
      <c r="B50" s="7" t="s">
        <v>1255</v>
      </c>
      <c r="C50" s="8">
        <v>4</v>
      </c>
      <c r="D50" s="9">
        <v>31.96</v>
      </c>
      <c r="E50" s="8">
        <v>1001228500</v>
      </c>
      <c r="F50" s="7" t="s">
        <v>2368</v>
      </c>
      <c r="G50" s="10" t="s">
        <v>2463</v>
      </c>
      <c r="H50" s="7" t="s">
        <v>2442</v>
      </c>
      <c r="I50" s="7" t="s">
        <v>2443</v>
      </c>
      <c r="J50" s="7" t="s">
        <v>2363</v>
      </c>
      <c r="K50" s="7" t="s">
        <v>2421</v>
      </c>
      <c r="L50" s="11" t="str">
        <f>HYPERLINK("http://slimages.macys.com/is/image/MCY/9507641 ")</f>
        <v xml:space="preserve">http://slimages.macys.com/is/image/MCY/9507641 </v>
      </c>
    </row>
    <row r="51" spans="1:12" ht="39.950000000000003" customHeight="1" x14ac:dyDescent="0.25">
      <c r="A51" s="6" t="s">
        <v>1256</v>
      </c>
      <c r="B51" s="7" t="s">
        <v>1257</v>
      </c>
      <c r="C51" s="8">
        <v>1</v>
      </c>
      <c r="D51" s="9">
        <v>6.99</v>
      </c>
      <c r="E51" s="8">
        <v>1002300500</v>
      </c>
      <c r="F51" s="7" t="s">
        <v>2454</v>
      </c>
      <c r="G51" s="10" t="s">
        <v>2463</v>
      </c>
      <c r="H51" s="7" t="s">
        <v>2442</v>
      </c>
      <c r="I51" s="7" t="s">
        <v>2411</v>
      </c>
      <c r="J51" s="7" t="s">
        <v>2363</v>
      </c>
      <c r="K51" s="7" t="s">
        <v>2421</v>
      </c>
      <c r="L51" s="11" t="str">
        <f>HYPERLINK("http://slimages.macys.com/is/image/MCY/9837819 ")</f>
        <v xml:space="preserve">http://slimages.macys.com/is/image/MCY/9837819 </v>
      </c>
    </row>
    <row r="52" spans="1:12" ht="39.950000000000003" customHeight="1" x14ac:dyDescent="0.25">
      <c r="A52" s="6" t="s">
        <v>1258</v>
      </c>
      <c r="B52" s="7" t="s">
        <v>1259</v>
      </c>
      <c r="C52" s="8">
        <v>1</v>
      </c>
      <c r="D52" s="9">
        <v>7.99</v>
      </c>
      <c r="E52" s="8" t="s">
        <v>1260</v>
      </c>
      <c r="F52" s="7" t="s">
        <v>2534</v>
      </c>
      <c r="G52" s="10" t="s">
        <v>2463</v>
      </c>
      <c r="H52" s="7" t="s">
        <v>2442</v>
      </c>
      <c r="I52" s="7" t="s">
        <v>2443</v>
      </c>
      <c r="J52" s="7" t="s">
        <v>2363</v>
      </c>
      <c r="K52" s="7" t="s">
        <v>2421</v>
      </c>
      <c r="L52" s="11" t="str">
        <f>HYPERLINK("http://slimages.macys.com/is/image/MCY/12737732 ")</f>
        <v xml:space="preserve">http://slimages.macys.com/is/image/MCY/12737732 </v>
      </c>
    </row>
    <row r="53" spans="1:12" ht="39.950000000000003" customHeight="1" x14ac:dyDescent="0.25">
      <c r="A53" s="6" t="s">
        <v>1261</v>
      </c>
      <c r="B53" s="7" t="s">
        <v>1262</v>
      </c>
      <c r="C53" s="8">
        <v>1</v>
      </c>
      <c r="D53" s="9">
        <v>3.99</v>
      </c>
      <c r="E53" s="8" t="s">
        <v>1263</v>
      </c>
      <c r="F53" s="7" t="s">
        <v>2436</v>
      </c>
      <c r="G53" s="10"/>
      <c r="H53" s="7" t="s">
        <v>2420</v>
      </c>
      <c r="I53" s="7" t="s">
        <v>2327</v>
      </c>
      <c r="J53" s="7"/>
      <c r="K53" s="7"/>
      <c r="L53" s="11" t="str">
        <f>HYPERLINK("http://slimages.macys.com/is/image/MCY/16468368 ")</f>
        <v xml:space="preserve">http://slimages.macys.com/is/image/MCY/16468368 </v>
      </c>
    </row>
    <row r="54" spans="1:12" ht="39.950000000000003" customHeight="1" x14ac:dyDescent="0.25">
      <c r="A54" s="6" t="s">
        <v>1264</v>
      </c>
      <c r="B54" s="7" t="s">
        <v>1265</v>
      </c>
      <c r="C54" s="8">
        <v>1</v>
      </c>
      <c r="D54" s="9">
        <v>3.99</v>
      </c>
      <c r="E54" s="8" t="s">
        <v>1266</v>
      </c>
      <c r="F54" s="7" t="s">
        <v>2435</v>
      </c>
      <c r="G54" s="10" t="s">
        <v>2463</v>
      </c>
      <c r="H54" s="7" t="s">
        <v>2420</v>
      </c>
      <c r="I54" s="7" t="s">
        <v>2433</v>
      </c>
      <c r="J54" s="7" t="s">
        <v>2363</v>
      </c>
      <c r="K54" s="7" t="s">
        <v>2421</v>
      </c>
      <c r="L54" s="11" t="str">
        <f t="shared" ref="L54:L62" si="0">HYPERLINK("http://slimages.macys.com/is/image/MCY/11926122 ")</f>
        <v xml:space="preserve">http://slimages.macys.com/is/image/MCY/11926122 </v>
      </c>
    </row>
    <row r="55" spans="1:12" ht="39.950000000000003" customHeight="1" x14ac:dyDescent="0.25">
      <c r="A55" s="6" t="s">
        <v>587</v>
      </c>
      <c r="B55" s="7" t="s">
        <v>588</v>
      </c>
      <c r="C55" s="8">
        <v>14</v>
      </c>
      <c r="D55" s="9">
        <v>55.86</v>
      </c>
      <c r="E55" s="8" t="s">
        <v>589</v>
      </c>
      <c r="F55" s="7" t="s">
        <v>2417</v>
      </c>
      <c r="G55" s="10" t="s">
        <v>2463</v>
      </c>
      <c r="H55" s="7" t="s">
        <v>2420</v>
      </c>
      <c r="I55" s="7" t="s">
        <v>2433</v>
      </c>
      <c r="J55" s="7" t="s">
        <v>2363</v>
      </c>
      <c r="K55" s="7" t="s">
        <v>2421</v>
      </c>
      <c r="L55" s="11" t="str">
        <f t="shared" si="0"/>
        <v xml:space="preserve">http://slimages.macys.com/is/image/MCY/11926122 </v>
      </c>
    </row>
    <row r="56" spans="1:12" ht="39.950000000000003" customHeight="1" x14ac:dyDescent="0.25">
      <c r="A56" s="6" t="s">
        <v>590</v>
      </c>
      <c r="B56" s="7" t="s">
        <v>591</v>
      </c>
      <c r="C56" s="8">
        <v>2</v>
      </c>
      <c r="D56" s="9">
        <v>7.98</v>
      </c>
      <c r="E56" s="8" t="s">
        <v>592</v>
      </c>
      <c r="F56" s="7" t="s">
        <v>2355</v>
      </c>
      <c r="G56" s="10" t="s">
        <v>2463</v>
      </c>
      <c r="H56" s="7" t="s">
        <v>2420</v>
      </c>
      <c r="I56" s="7" t="s">
        <v>2433</v>
      </c>
      <c r="J56" s="7" t="s">
        <v>2363</v>
      </c>
      <c r="K56" s="7" t="s">
        <v>2421</v>
      </c>
      <c r="L56" s="11" t="str">
        <f t="shared" si="0"/>
        <v xml:space="preserve">http://slimages.macys.com/is/image/MCY/11926122 </v>
      </c>
    </row>
    <row r="57" spans="1:12" ht="39.950000000000003" customHeight="1" x14ac:dyDescent="0.25">
      <c r="A57" s="6" t="s">
        <v>1267</v>
      </c>
      <c r="B57" s="7" t="s">
        <v>1268</v>
      </c>
      <c r="C57" s="8">
        <v>2</v>
      </c>
      <c r="D57" s="9">
        <v>7.98</v>
      </c>
      <c r="E57" s="8" t="s">
        <v>1269</v>
      </c>
      <c r="F57" s="7" t="s">
        <v>1270</v>
      </c>
      <c r="G57" s="10" t="s">
        <v>2463</v>
      </c>
      <c r="H57" s="7" t="s">
        <v>2420</v>
      </c>
      <c r="I57" s="7" t="s">
        <v>2433</v>
      </c>
      <c r="J57" s="7" t="s">
        <v>2363</v>
      </c>
      <c r="K57" s="7" t="s">
        <v>2421</v>
      </c>
      <c r="L57" s="11" t="str">
        <f t="shared" si="0"/>
        <v xml:space="preserve">http://slimages.macys.com/is/image/MCY/11926122 </v>
      </c>
    </row>
    <row r="58" spans="1:12" ht="39.950000000000003" customHeight="1" x14ac:dyDescent="0.25">
      <c r="A58" s="6" t="s">
        <v>584</v>
      </c>
      <c r="B58" s="7" t="s">
        <v>585</v>
      </c>
      <c r="C58" s="8">
        <v>2</v>
      </c>
      <c r="D58" s="9">
        <v>7.98</v>
      </c>
      <c r="E58" s="8" t="s">
        <v>586</v>
      </c>
      <c r="F58" s="7" t="s">
        <v>2512</v>
      </c>
      <c r="G58" s="10" t="s">
        <v>2463</v>
      </c>
      <c r="H58" s="7" t="s">
        <v>2420</v>
      </c>
      <c r="I58" s="7" t="s">
        <v>2433</v>
      </c>
      <c r="J58" s="7" t="s">
        <v>2363</v>
      </c>
      <c r="K58" s="7" t="s">
        <v>2421</v>
      </c>
      <c r="L58" s="11" t="str">
        <f t="shared" si="0"/>
        <v xml:space="preserve">http://slimages.macys.com/is/image/MCY/11926122 </v>
      </c>
    </row>
    <row r="59" spans="1:12" ht="39.950000000000003" customHeight="1" x14ac:dyDescent="0.25">
      <c r="A59" s="6" t="s">
        <v>1271</v>
      </c>
      <c r="B59" s="7" t="s">
        <v>1272</v>
      </c>
      <c r="C59" s="8">
        <v>6</v>
      </c>
      <c r="D59" s="9">
        <v>23.94</v>
      </c>
      <c r="E59" s="8" t="s">
        <v>1273</v>
      </c>
      <c r="F59" s="7" t="s">
        <v>2435</v>
      </c>
      <c r="G59" s="10" t="s">
        <v>2463</v>
      </c>
      <c r="H59" s="7" t="s">
        <v>2420</v>
      </c>
      <c r="I59" s="7" t="s">
        <v>2433</v>
      </c>
      <c r="J59" s="7" t="s">
        <v>2363</v>
      </c>
      <c r="K59" s="7" t="s">
        <v>2421</v>
      </c>
      <c r="L59" s="11" t="str">
        <f t="shared" si="0"/>
        <v xml:space="preserve">http://slimages.macys.com/is/image/MCY/11926122 </v>
      </c>
    </row>
    <row r="60" spans="1:12" ht="39.950000000000003" customHeight="1" x14ac:dyDescent="0.25">
      <c r="A60" s="6" t="s">
        <v>596</v>
      </c>
      <c r="B60" s="7" t="s">
        <v>597</v>
      </c>
      <c r="C60" s="8">
        <v>21</v>
      </c>
      <c r="D60" s="9">
        <v>83.79</v>
      </c>
      <c r="E60" s="8" t="s">
        <v>598</v>
      </c>
      <c r="F60" s="7" t="s">
        <v>3009</v>
      </c>
      <c r="G60" s="10" t="s">
        <v>2463</v>
      </c>
      <c r="H60" s="7" t="s">
        <v>2420</v>
      </c>
      <c r="I60" s="7" t="s">
        <v>2433</v>
      </c>
      <c r="J60" s="7" t="s">
        <v>2363</v>
      </c>
      <c r="K60" s="7" t="s">
        <v>2421</v>
      </c>
      <c r="L60" s="11" t="str">
        <f t="shared" si="0"/>
        <v xml:space="preserve">http://slimages.macys.com/is/image/MCY/11926122 </v>
      </c>
    </row>
    <row r="61" spans="1:12" ht="39.950000000000003" customHeight="1" x14ac:dyDescent="0.25">
      <c r="A61" s="6" t="s">
        <v>593</v>
      </c>
      <c r="B61" s="7" t="s">
        <v>594</v>
      </c>
      <c r="C61" s="8">
        <v>5</v>
      </c>
      <c r="D61" s="9">
        <v>19.95</v>
      </c>
      <c r="E61" s="8" t="s">
        <v>595</v>
      </c>
      <c r="F61" s="7" t="s">
        <v>2446</v>
      </c>
      <c r="G61" s="10" t="s">
        <v>2463</v>
      </c>
      <c r="H61" s="7" t="s">
        <v>2420</v>
      </c>
      <c r="I61" s="7" t="s">
        <v>2433</v>
      </c>
      <c r="J61" s="7" t="s">
        <v>2363</v>
      </c>
      <c r="K61" s="7" t="s">
        <v>2421</v>
      </c>
      <c r="L61" s="11" t="str">
        <f t="shared" si="0"/>
        <v xml:space="preserve">http://slimages.macys.com/is/image/MCY/11926122 </v>
      </c>
    </row>
    <row r="62" spans="1:12" ht="39.950000000000003" customHeight="1" x14ac:dyDescent="0.25">
      <c r="A62" s="6" t="s">
        <v>581</v>
      </c>
      <c r="B62" s="7" t="s">
        <v>582</v>
      </c>
      <c r="C62" s="8">
        <v>2</v>
      </c>
      <c r="D62" s="9">
        <v>7.98</v>
      </c>
      <c r="E62" s="8" t="s">
        <v>583</v>
      </c>
      <c r="F62" s="7" t="s">
        <v>2368</v>
      </c>
      <c r="G62" s="10" t="s">
        <v>2463</v>
      </c>
      <c r="H62" s="7" t="s">
        <v>2420</v>
      </c>
      <c r="I62" s="7" t="s">
        <v>2433</v>
      </c>
      <c r="J62" s="7" t="s">
        <v>2363</v>
      </c>
      <c r="K62" s="7" t="s">
        <v>2421</v>
      </c>
      <c r="L62" s="11" t="str">
        <f t="shared" si="0"/>
        <v xml:space="preserve">http://slimages.macys.com/is/image/MCY/11926122 </v>
      </c>
    </row>
    <row r="63" spans="1:12" ht="39.950000000000003" customHeight="1" x14ac:dyDescent="0.25">
      <c r="A63" s="6" t="s">
        <v>1274</v>
      </c>
      <c r="B63" s="7" t="s">
        <v>1275</v>
      </c>
      <c r="C63" s="8">
        <v>2</v>
      </c>
      <c r="D63" s="9">
        <v>15.98</v>
      </c>
      <c r="E63" s="8">
        <v>1005083000</v>
      </c>
      <c r="F63" s="7" t="s">
        <v>2362</v>
      </c>
      <c r="G63" s="10" t="s">
        <v>2463</v>
      </c>
      <c r="H63" s="7" t="s">
        <v>2442</v>
      </c>
      <c r="I63" s="7" t="s">
        <v>2411</v>
      </c>
      <c r="J63" s="7" t="s">
        <v>2363</v>
      </c>
      <c r="K63" s="7" t="s">
        <v>2640</v>
      </c>
      <c r="L63" s="11" t="str">
        <f>HYPERLINK("http://slimages.macys.com/is/image/MCY/11709733 ")</f>
        <v xml:space="preserve">http://slimages.macys.com/is/image/MCY/11709733 </v>
      </c>
    </row>
    <row r="64" spans="1:12" ht="39.950000000000003" customHeight="1" x14ac:dyDescent="0.25">
      <c r="A64" s="6" t="s">
        <v>1276</v>
      </c>
      <c r="B64" s="7" t="s">
        <v>1277</v>
      </c>
      <c r="C64" s="8">
        <v>1</v>
      </c>
      <c r="D64" s="9">
        <v>100</v>
      </c>
      <c r="E64" s="8">
        <v>20553222</v>
      </c>
      <c r="F64" s="7" t="s">
        <v>2468</v>
      </c>
      <c r="G64" s="10" t="s">
        <v>2469</v>
      </c>
      <c r="H64" s="7" t="s">
        <v>2369</v>
      </c>
      <c r="I64" s="7" t="s">
        <v>2370</v>
      </c>
      <c r="J64" s="7"/>
      <c r="K64" s="7"/>
      <c r="L64" s="11"/>
    </row>
    <row r="65" spans="1:12" ht="39.950000000000003" customHeight="1" x14ac:dyDescent="0.25">
      <c r="A65" s="6" t="s">
        <v>1278</v>
      </c>
      <c r="B65" s="7" t="s">
        <v>1279</v>
      </c>
      <c r="C65" s="8">
        <v>1</v>
      </c>
      <c r="D65" s="9">
        <v>9.99</v>
      </c>
      <c r="E65" s="8">
        <v>3547</v>
      </c>
      <c r="F65" s="7" t="s">
        <v>2386</v>
      </c>
      <c r="G65" s="10" t="s">
        <v>2463</v>
      </c>
      <c r="H65" s="7" t="s">
        <v>2420</v>
      </c>
      <c r="I65" s="7" t="s">
        <v>2465</v>
      </c>
      <c r="J65" s="7"/>
      <c r="K65" s="7"/>
      <c r="L65" s="11"/>
    </row>
  </sheetData>
  <phoneticPr fontId="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85"/>
  <sheetViews>
    <sheetView workbookViewId="0">
      <selection activeCell="B44" sqref="B44"/>
    </sheetView>
  </sheetViews>
  <sheetFormatPr defaultRowHeight="39.950000000000003" customHeight="1" x14ac:dyDescent="0.25"/>
  <cols>
    <col min="1" max="1" width="14.28515625" customWidth="1"/>
    <col min="2" max="2" width="50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2350</v>
      </c>
      <c r="I1" s="5" t="s">
        <v>2351</v>
      </c>
      <c r="J1" s="5" t="s">
        <v>2352</v>
      </c>
      <c r="K1" s="5" t="s">
        <v>2353</v>
      </c>
      <c r="L1" s="5" t="s">
        <v>2354</v>
      </c>
    </row>
    <row r="2" spans="1:12" ht="39.950000000000003" customHeight="1" x14ac:dyDescent="0.25">
      <c r="A2" s="6" t="s">
        <v>1280</v>
      </c>
      <c r="B2" s="7" t="s">
        <v>1281</v>
      </c>
      <c r="C2" s="8">
        <v>1</v>
      </c>
      <c r="D2" s="9">
        <v>235.99</v>
      </c>
      <c r="E2" s="8" t="s">
        <v>1282</v>
      </c>
      <c r="F2" s="7" t="s">
        <v>2538</v>
      </c>
      <c r="G2" s="10" t="s">
        <v>2373</v>
      </c>
      <c r="H2" s="7" t="s">
        <v>2369</v>
      </c>
      <c r="I2" s="7" t="s">
        <v>2374</v>
      </c>
      <c r="J2" s="7" t="s">
        <v>2363</v>
      </c>
      <c r="K2" s="7" t="s">
        <v>1283</v>
      </c>
      <c r="L2" s="11" t="str">
        <f>HYPERLINK("http://slimages.macys.com/is/image/MCY/10653813 ")</f>
        <v xml:space="preserve">http://slimages.macys.com/is/image/MCY/10653813 </v>
      </c>
    </row>
    <row r="3" spans="1:12" ht="39.950000000000003" customHeight="1" x14ac:dyDescent="0.25">
      <c r="A3" s="6" t="s">
        <v>1284</v>
      </c>
      <c r="B3" s="7" t="s">
        <v>1285</v>
      </c>
      <c r="C3" s="8">
        <v>1</v>
      </c>
      <c r="D3" s="9">
        <v>199.99</v>
      </c>
      <c r="E3" s="8">
        <v>211391</v>
      </c>
      <c r="F3" s="7" t="s">
        <v>2615</v>
      </c>
      <c r="G3" s="10"/>
      <c r="H3" s="7" t="s">
        <v>2383</v>
      </c>
      <c r="I3" s="7" t="s">
        <v>2445</v>
      </c>
      <c r="J3" s="7" t="s">
        <v>2363</v>
      </c>
      <c r="K3" s="7" t="s">
        <v>2421</v>
      </c>
      <c r="L3" s="11" t="str">
        <f>HYPERLINK("http://slimages.macys.com/is/image/MCY/10276235 ")</f>
        <v xml:space="preserve">http://slimages.macys.com/is/image/MCY/10276235 </v>
      </c>
    </row>
    <row r="4" spans="1:12" ht="39.950000000000003" customHeight="1" x14ac:dyDescent="0.25">
      <c r="A4" s="6" t="s">
        <v>1286</v>
      </c>
      <c r="B4" s="7" t="s">
        <v>1287</v>
      </c>
      <c r="C4" s="8">
        <v>1</v>
      </c>
      <c r="D4" s="9">
        <v>226.99</v>
      </c>
      <c r="E4" s="8">
        <v>64125</v>
      </c>
      <c r="F4" s="7" t="s">
        <v>2355</v>
      </c>
      <c r="G4" s="10"/>
      <c r="H4" s="7" t="s">
        <v>2407</v>
      </c>
      <c r="I4" s="7" t="s">
        <v>2542</v>
      </c>
      <c r="J4" s="7" t="s">
        <v>2363</v>
      </c>
      <c r="K4" s="7" t="s">
        <v>2385</v>
      </c>
      <c r="L4" s="11" t="str">
        <f>HYPERLINK("http://slimages.macys.com/is/image/MCY/15617629 ")</f>
        <v xml:space="preserve">http://slimages.macys.com/is/image/MCY/15617629 </v>
      </c>
    </row>
    <row r="5" spans="1:12" ht="39.950000000000003" customHeight="1" x14ac:dyDescent="0.25">
      <c r="A5" s="6" t="s">
        <v>2937</v>
      </c>
      <c r="B5" s="7" t="s">
        <v>2938</v>
      </c>
      <c r="C5" s="8">
        <v>1</v>
      </c>
      <c r="D5" s="9">
        <v>149.99</v>
      </c>
      <c r="E5" s="8" t="s">
        <v>2939</v>
      </c>
      <c r="F5" s="7" t="s">
        <v>2386</v>
      </c>
      <c r="G5" s="10"/>
      <c r="H5" s="7" t="s">
        <v>2422</v>
      </c>
      <c r="I5" s="7" t="s">
        <v>2540</v>
      </c>
      <c r="J5" s="7" t="s">
        <v>2363</v>
      </c>
      <c r="K5" s="7" t="s">
        <v>2385</v>
      </c>
      <c r="L5" s="11" t="str">
        <f>HYPERLINK("http://slimages.macys.com/is/image/MCY/12061176 ")</f>
        <v xml:space="preserve">http://slimages.macys.com/is/image/MCY/12061176 </v>
      </c>
    </row>
    <row r="6" spans="1:12" ht="39.950000000000003" customHeight="1" x14ac:dyDescent="0.25">
      <c r="A6" s="6" t="s">
        <v>1288</v>
      </c>
      <c r="B6" s="7" t="s">
        <v>1289</v>
      </c>
      <c r="C6" s="8">
        <v>1</v>
      </c>
      <c r="D6" s="9">
        <v>169.99</v>
      </c>
      <c r="E6" s="8" t="s">
        <v>1290</v>
      </c>
      <c r="F6" s="7" t="s">
        <v>2377</v>
      </c>
      <c r="G6" s="10"/>
      <c r="H6" s="7" t="s">
        <v>2422</v>
      </c>
      <c r="I6" s="7" t="s">
        <v>1291</v>
      </c>
      <c r="J6" s="7" t="s">
        <v>2363</v>
      </c>
      <c r="K6" s="7" t="s">
        <v>1292</v>
      </c>
      <c r="L6" s="11" t="str">
        <f>HYPERLINK("http://slimages.macys.com/is/image/MCY/11337403 ")</f>
        <v xml:space="preserve">http://slimages.macys.com/is/image/MCY/11337403 </v>
      </c>
    </row>
    <row r="7" spans="1:12" ht="39.950000000000003" customHeight="1" x14ac:dyDescent="0.25">
      <c r="A7" s="6" t="s">
        <v>1293</v>
      </c>
      <c r="B7" s="7" t="s">
        <v>1294</v>
      </c>
      <c r="C7" s="8">
        <v>1</v>
      </c>
      <c r="D7" s="9">
        <v>149.99</v>
      </c>
      <c r="E7" s="8">
        <v>221446</v>
      </c>
      <c r="F7" s="7" t="s">
        <v>2446</v>
      </c>
      <c r="G7" s="10"/>
      <c r="H7" s="7" t="s">
        <v>2432</v>
      </c>
      <c r="I7" s="7" t="s">
        <v>2250</v>
      </c>
      <c r="J7" s="7" t="s">
        <v>2363</v>
      </c>
      <c r="K7" s="7" t="s">
        <v>1295</v>
      </c>
      <c r="L7" s="11" t="str">
        <f>HYPERLINK("http://slimages.macys.com/is/image/MCY/9936583 ")</f>
        <v xml:space="preserve">http://slimages.macys.com/is/image/MCY/9936583 </v>
      </c>
    </row>
    <row r="8" spans="1:12" ht="39.950000000000003" customHeight="1" x14ac:dyDescent="0.25">
      <c r="A8" s="6" t="s">
        <v>1296</v>
      </c>
      <c r="B8" s="7" t="s">
        <v>1297</v>
      </c>
      <c r="C8" s="8">
        <v>1</v>
      </c>
      <c r="D8" s="9">
        <v>169.99</v>
      </c>
      <c r="E8" s="8" t="s">
        <v>1298</v>
      </c>
      <c r="F8" s="7" t="s">
        <v>2355</v>
      </c>
      <c r="G8" s="10"/>
      <c r="H8" s="7" t="s">
        <v>2413</v>
      </c>
      <c r="I8" s="7" t="s">
        <v>2524</v>
      </c>
      <c r="J8" s="7"/>
      <c r="K8" s="7"/>
      <c r="L8" s="11" t="str">
        <f>HYPERLINK("http://slimages.macys.com/is/image/MCY/17576412 ")</f>
        <v xml:space="preserve">http://slimages.macys.com/is/image/MCY/17576412 </v>
      </c>
    </row>
    <row r="9" spans="1:12" ht="39.950000000000003" customHeight="1" x14ac:dyDescent="0.25">
      <c r="A9" s="6" t="s">
        <v>1299</v>
      </c>
      <c r="B9" s="7" t="s">
        <v>1300</v>
      </c>
      <c r="C9" s="8">
        <v>1</v>
      </c>
      <c r="D9" s="9">
        <v>132.99</v>
      </c>
      <c r="E9" s="8" t="s">
        <v>1301</v>
      </c>
      <c r="F9" s="7" t="s">
        <v>2368</v>
      </c>
      <c r="G9" s="10"/>
      <c r="H9" s="7" t="s">
        <v>2369</v>
      </c>
      <c r="I9" s="7" t="s">
        <v>2409</v>
      </c>
      <c r="J9" s="7" t="s">
        <v>2363</v>
      </c>
      <c r="K9" s="7" t="s">
        <v>1302</v>
      </c>
      <c r="L9" s="11" t="str">
        <f>HYPERLINK("http://slimages.macys.com/is/image/MCY/11112962 ")</f>
        <v xml:space="preserve">http://slimages.macys.com/is/image/MCY/11112962 </v>
      </c>
    </row>
    <row r="10" spans="1:12" ht="39.950000000000003" customHeight="1" x14ac:dyDescent="0.25">
      <c r="A10" s="6" t="s">
        <v>2682</v>
      </c>
      <c r="B10" s="7" t="s">
        <v>2683</v>
      </c>
      <c r="C10" s="8">
        <v>1</v>
      </c>
      <c r="D10" s="9">
        <v>144.99</v>
      </c>
      <c r="E10" s="8" t="s">
        <v>2684</v>
      </c>
      <c r="F10" s="7" t="s">
        <v>2368</v>
      </c>
      <c r="G10" s="10"/>
      <c r="H10" s="7" t="s">
        <v>2369</v>
      </c>
      <c r="I10" s="7" t="s">
        <v>2431</v>
      </c>
      <c r="J10" s="7" t="s">
        <v>2363</v>
      </c>
      <c r="K10" s="7" t="s">
        <v>2385</v>
      </c>
      <c r="L10" s="11" t="str">
        <f>HYPERLINK("http://slimages.macys.com/is/image/MCY/16409256 ")</f>
        <v xml:space="preserve">http://slimages.macys.com/is/image/MCY/16409256 </v>
      </c>
    </row>
    <row r="11" spans="1:12" ht="39.950000000000003" customHeight="1" x14ac:dyDescent="0.25">
      <c r="A11" s="6" t="s">
        <v>1303</v>
      </c>
      <c r="B11" s="7" t="s">
        <v>1304</v>
      </c>
      <c r="C11" s="8">
        <v>1</v>
      </c>
      <c r="D11" s="9">
        <v>104.99</v>
      </c>
      <c r="E11" s="8" t="s">
        <v>1305</v>
      </c>
      <c r="F11" s="7" t="s">
        <v>2355</v>
      </c>
      <c r="G11" s="10"/>
      <c r="H11" s="7" t="s">
        <v>2420</v>
      </c>
      <c r="I11" s="7" t="s">
        <v>2621</v>
      </c>
      <c r="J11" s="7" t="s">
        <v>2363</v>
      </c>
      <c r="K11" s="7" t="s">
        <v>2625</v>
      </c>
      <c r="L11" s="11" t="str">
        <f>HYPERLINK("http://slimages.macys.com/is/image/MCY/11927076 ")</f>
        <v xml:space="preserve">http://slimages.macys.com/is/image/MCY/11927076 </v>
      </c>
    </row>
    <row r="12" spans="1:12" ht="39.950000000000003" customHeight="1" x14ac:dyDescent="0.25">
      <c r="A12" s="6" t="s">
        <v>2788</v>
      </c>
      <c r="B12" s="7" t="s">
        <v>2789</v>
      </c>
      <c r="C12" s="8">
        <v>1</v>
      </c>
      <c r="D12" s="9">
        <v>149.99</v>
      </c>
      <c r="E12" s="8" t="s">
        <v>2790</v>
      </c>
      <c r="F12" s="7" t="s">
        <v>2477</v>
      </c>
      <c r="G12" s="10"/>
      <c r="H12" s="7" t="s">
        <v>2375</v>
      </c>
      <c r="I12" s="7" t="s">
        <v>2376</v>
      </c>
      <c r="J12" s="7"/>
      <c r="K12" s="7"/>
      <c r="L12" s="11" t="str">
        <f>HYPERLINK("http://slimages.macys.com/is/image/MCY/18893501 ")</f>
        <v xml:space="preserve">http://slimages.macys.com/is/image/MCY/18893501 </v>
      </c>
    </row>
    <row r="13" spans="1:12" ht="39.950000000000003" customHeight="1" x14ac:dyDescent="0.25">
      <c r="A13" s="6" t="s">
        <v>2943</v>
      </c>
      <c r="B13" s="7" t="s">
        <v>2944</v>
      </c>
      <c r="C13" s="8">
        <v>1</v>
      </c>
      <c r="D13" s="9">
        <v>124.99</v>
      </c>
      <c r="E13" s="8" t="s">
        <v>2945</v>
      </c>
      <c r="F13" s="7" t="s">
        <v>2355</v>
      </c>
      <c r="G13" s="10" t="s">
        <v>2646</v>
      </c>
      <c r="H13" s="7" t="s">
        <v>2413</v>
      </c>
      <c r="I13" s="7" t="s">
        <v>2499</v>
      </c>
      <c r="J13" s="7" t="s">
        <v>2452</v>
      </c>
      <c r="K13" s="7" t="s">
        <v>2500</v>
      </c>
      <c r="L13" s="11" t="str">
        <f>HYPERLINK("http://slimages.macys.com/is/image/MCY/8589816 ")</f>
        <v xml:space="preserve">http://slimages.macys.com/is/image/MCY/8589816 </v>
      </c>
    </row>
    <row r="14" spans="1:12" ht="39.950000000000003" customHeight="1" x14ac:dyDescent="0.25">
      <c r="A14" s="6" t="s">
        <v>1306</v>
      </c>
      <c r="B14" s="7" t="s">
        <v>1307</v>
      </c>
      <c r="C14" s="8">
        <v>1</v>
      </c>
      <c r="D14" s="9">
        <v>99.99</v>
      </c>
      <c r="E14" s="8" t="s">
        <v>1308</v>
      </c>
      <c r="F14" s="7"/>
      <c r="G14" s="10"/>
      <c r="H14" s="7" t="s">
        <v>2432</v>
      </c>
      <c r="I14" s="7" t="s">
        <v>2433</v>
      </c>
      <c r="J14" s="7"/>
      <c r="K14" s="7"/>
      <c r="L14" s="11" t="str">
        <f>HYPERLINK("http://slimages.macys.com/is/image/MCY/17039940 ")</f>
        <v xml:space="preserve">http://slimages.macys.com/is/image/MCY/17039940 </v>
      </c>
    </row>
    <row r="15" spans="1:12" ht="39.950000000000003" customHeight="1" x14ac:dyDescent="0.25">
      <c r="A15" s="6" t="s">
        <v>1309</v>
      </c>
      <c r="B15" s="7" t="s">
        <v>1310</v>
      </c>
      <c r="C15" s="8">
        <v>1</v>
      </c>
      <c r="D15" s="9">
        <v>109.99</v>
      </c>
      <c r="E15" s="8" t="s">
        <v>1311</v>
      </c>
      <c r="F15" s="7" t="s">
        <v>2368</v>
      </c>
      <c r="G15" s="10"/>
      <c r="H15" s="7" t="s">
        <v>2369</v>
      </c>
      <c r="I15" s="7" t="s">
        <v>2409</v>
      </c>
      <c r="J15" s="7" t="s">
        <v>2363</v>
      </c>
      <c r="K15" s="7" t="s">
        <v>2385</v>
      </c>
      <c r="L15" s="11" t="str">
        <f>HYPERLINK("http://slimages.macys.com/is/image/MCY/16650708 ")</f>
        <v xml:space="preserve">http://slimages.macys.com/is/image/MCY/16650708 </v>
      </c>
    </row>
    <row r="16" spans="1:12" ht="39.950000000000003" customHeight="1" x14ac:dyDescent="0.25">
      <c r="A16" s="6" t="s">
        <v>1312</v>
      </c>
      <c r="B16" s="7" t="s">
        <v>1313</v>
      </c>
      <c r="C16" s="8">
        <v>1</v>
      </c>
      <c r="D16" s="9">
        <v>78.11</v>
      </c>
      <c r="E16" s="8" t="s">
        <v>1314</v>
      </c>
      <c r="F16" s="7" t="s">
        <v>2386</v>
      </c>
      <c r="G16" s="10"/>
      <c r="H16" s="7" t="s">
        <v>2369</v>
      </c>
      <c r="I16" s="7" t="s">
        <v>2543</v>
      </c>
      <c r="J16" s="7"/>
      <c r="K16" s="7"/>
      <c r="L16" s="11" t="str">
        <f>HYPERLINK("http://slimages.macys.com/is/image/MCY/18278633 ")</f>
        <v xml:space="preserve">http://slimages.macys.com/is/image/MCY/18278633 </v>
      </c>
    </row>
    <row r="17" spans="1:12" ht="39.950000000000003" customHeight="1" x14ac:dyDescent="0.25">
      <c r="A17" s="6" t="s">
        <v>1315</v>
      </c>
      <c r="B17" s="7" t="s">
        <v>1316</v>
      </c>
      <c r="C17" s="8">
        <v>1</v>
      </c>
      <c r="D17" s="9">
        <v>129.99</v>
      </c>
      <c r="E17" s="8" t="s">
        <v>1317</v>
      </c>
      <c r="F17" s="7" t="s">
        <v>2368</v>
      </c>
      <c r="G17" s="10"/>
      <c r="H17" s="7" t="s">
        <v>2375</v>
      </c>
      <c r="I17" s="7" t="s">
        <v>2376</v>
      </c>
      <c r="J17" s="7" t="s">
        <v>2363</v>
      </c>
      <c r="K17" s="7"/>
      <c r="L17" s="11" t="str">
        <f>HYPERLINK("http://slimages.macys.com/is/image/MCY/16342219 ")</f>
        <v xml:space="preserve">http://slimages.macys.com/is/image/MCY/16342219 </v>
      </c>
    </row>
    <row r="18" spans="1:12" ht="39.950000000000003" customHeight="1" x14ac:dyDescent="0.25">
      <c r="A18" s="6" t="s">
        <v>1318</v>
      </c>
      <c r="B18" s="7" t="s">
        <v>1319</v>
      </c>
      <c r="C18" s="8">
        <v>2</v>
      </c>
      <c r="D18" s="9">
        <v>199.98</v>
      </c>
      <c r="E18" s="8">
        <v>22339222</v>
      </c>
      <c r="F18" s="7" t="s">
        <v>2419</v>
      </c>
      <c r="G18" s="10"/>
      <c r="H18" s="7" t="s">
        <v>2369</v>
      </c>
      <c r="I18" s="7" t="s">
        <v>2370</v>
      </c>
      <c r="J18" s="7" t="s">
        <v>2363</v>
      </c>
      <c r="K18" s="7" t="s">
        <v>2385</v>
      </c>
      <c r="L18" s="11" t="str">
        <f>HYPERLINK("http://slimages.macys.com/is/image/MCY/16688557 ")</f>
        <v xml:space="preserve">http://slimages.macys.com/is/image/MCY/16688557 </v>
      </c>
    </row>
    <row r="19" spans="1:12" ht="39.950000000000003" customHeight="1" x14ac:dyDescent="0.25">
      <c r="A19" s="6" t="s">
        <v>2791</v>
      </c>
      <c r="B19" s="7" t="s">
        <v>2792</v>
      </c>
      <c r="C19" s="8">
        <v>1</v>
      </c>
      <c r="D19" s="9">
        <v>99.99</v>
      </c>
      <c r="E19" s="8">
        <v>22338322</v>
      </c>
      <c r="F19" s="7" t="s">
        <v>2355</v>
      </c>
      <c r="G19" s="10"/>
      <c r="H19" s="7" t="s">
        <v>2369</v>
      </c>
      <c r="I19" s="7" t="s">
        <v>2370</v>
      </c>
      <c r="J19" s="7"/>
      <c r="K19" s="7"/>
      <c r="L19" s="11" t="str">
        <f>HYPERLINK("http://slimages.macys.com/is/image/MCY/17862566 ")</f>
        <v xml:space="preserve">http://slimages.macys.com/is/image/MCY/17862566 </v>
      </c>
    </row>
    <row r="20" spans="1:12" ht="39.950000000000003" customHeight="1" x14ac:dyDescent="0.25">
      <c r="A20" s="6" t="s">
        <v>1320</v>
      </c>
      <c r="B20" s="7" t="s">
        <v>1321</v>
      </c>
      <c r="C20" s="8">
        <v>1</v>
      </c>
      <c r="D20" s="9">
        <v>64.989999999999995</v>
      </c>
      <c r="E20" s="8" t="s">
        <v>1322</v>
      </c>
      <c r="F20" s="7" t="s">
        <v>2436</v>
      </c>
      <c r="G20" s="10"/>
      <c r="H20" s="7" t="s">
        <v>2387</v>
      </c>
      <c r="I20" s="7" t="s">
        <v>2404</v>
      </c>
      <c r="J20" s="7" t="s">
        <v>2363</v>
      </c>
      <c r="K20" s="7"/>
      <c r="L20" s="11" t="str">
        <f>HYPERLINK("http://slimages.macys.com/is/image/MCY/15390117 ")</f>
        <v xml:space="preserve">http://slimages.macys.com/is/image/MCY/15390117 </v>
      </c>
    </row>
    <row r="21" spans="1:12" ht="39.950000000000003" customHeight="1" x14ac:dyDescent="0.25">
      <c r="A21" s="6" t="s">
        <v>1323</v>
      </c>
      <c r="B21" s="7" t="s">
        <v>1324</v>
      </c>
      <c r="C21" s="8">
        <v>1</v>
      </c>
      <c r="D21" s="9">
        <v>99.99</v>
      </c>
      <c r="E21" s="8" t="s">
        <v>1325</v>
      </c>
      <c r="F21" s="7" t="s">
        <v>2368</v>
      </c>
      <c r="G21" s="10"/>
      <c r="H21" s="7" t="s">
        <v>2375</v>
      </c>
      <c r="I21" s="7" t="s">
        <v>2376</v>
      </c>
      <c r="J21" s="7" t="s">
        <v>2363</v>
      </c>
      <c r="K21" s="7"/>
      <c r="L21" s="11" t="str">
        <f>HYPERLINK("http://slimages.macys.com/is/image/MCY/16633335 ")</f>
        <v xml:space="preserve">http://slimages.macys.com/is/image/MCY/16633335 </v>
      </c>
    </row>
    <row r="22" spans="1:12" ht="39.950000000000003" customHeight="1" x14ac:dyDescent="0.25">
      <c r="A22" s="6" t="s">
        <v>2492</v>
      </c>
      <c r="B22" s="7" t="s">
        <v>2493</v>
      </c>
      <c r="C22" s="8">
        <v>1</v>
      </c>
      <c r="D22" s="9">
        <v>59.99</v>
      </c>
      <c r="E22" s="8" t="s">
        <v>2494</v>
      </c>
      <c r="F22" s="7" t="s">
        <v>2495</v>
      </c>
      <c r="G22" s="10"/>
      <c r="H22" s="7" t="s">
        <v>2387</v>
      </c>
      <c r="I22" s="7" t="s">
        <v>2404</v>
      </c>
      <c r="J22" s="7" t="s">
        <v>2363</v>
      </c>
      <c r="K22" s="7"/>
      <c r="L22" s="11" t="str">
        <f>HYPERLINK("http://slimages.macys.com/is/image/MCY/15390117 ")</f>
        <v xml:space="preserve">http://slimages.macys.com/is/image/MCY/15390117 </v>
      </c>
    </row>
    <row r="23" spans="1:12" ht="39.950000000000003" customHeight="1" x14ac:dyDescent="0.25">
      <c r="A23" s="6" t="s">
        <v>1326</v>
      </c>
      <c r="B23" s="7" t="s">
        <v>1327</v>
      </c>
      <c r="C23" s="8">
        <v>1</v>
      </c>
      <c r="D23" s="9">
        <v>59.99</v>
      </c>
      <c r="E23" s="8" t="s">
        <v>1328</v>
      </c>
      <c r="F23" s="7" t="s">
        <v>2355</v>
      </c>
      <c r="G23" s="10"/>
      <c r="H23" s="7" t="s">
        <v>2387</v>
      </c>
      <c r="I23" s="7" t="s">
        <v>2404</v>
      </c>
      <c r="J23" s="7"/>
      <c r="K23" s="7"/>
      <c r="L23" s="11" t="str">
        <f>HYPERLINK("http://slimages.macys.com/is/image/MCY/17822518 ")</f>
        <v xml:space="preserve">http://slimages.macys.com/is/image/MCY/17822518 </v>
      </c>
    </row>
    <row r="24" spans="1:12" ht="39.950000000000003" customHeight="1" x14ac:dyDescent="0.25">
      <c r="A24" s="6" t="s">
        <v>1329</v>
      </c>
      <c r="B24" s="7" t="s">
        <v>1330</v>
      </c>
      <c r="C24" s="8">
        <v>1</v>
      </c>
      <c r="D24" s="9">
        <v>99.99</v>
      </c>
      <c r="E24" s="8" t="s">
        <v>1331</v>
      </c>
      <c r="F24" s="7" t="s">
        <v>2538</v>
      </c>
      <c r="G24" s="10"/>
      <c r="H24" s="7" t="s">
        <v>2375</v>
      </c>
      <c r="I24" s="7" t="s">
        <v>2376</v>
      </c>
      <c r="J24" s="7"/>
      <c r="K24" s="7"/>
      <c r="L24" s="11" t="str">
        <f>HYPERLINK("http://slimages.macys.com/is/image/MCY/18941425 ")</f>
        <v xml:space="preserve">http://slimages.macys.com/is/image/MCY/18941425 </v>
      </c>
    </row>
    <row r="25" spans="1:12" ht="39.950000000000003" customHeight="1" x14ac:dyDescent="0.25">
      <c r="A25" s="6" t="s">
        <v>2761</v>
      </c>
      <c r="B25" s="7" t="s">
        <v>2762</v>
      </c>
      <c r="C25" s="8">
        <v>1</v>
      </c>
      <c r="D25" s="9">
        <v>79.989999999999995</v>
      </c>
      <c r="E25" s="8">
        <v>1003085000</v>
      </c>
      <c r="F25" s="7" t="s">
        <v>2495</v>
      </c>
      <c r="G25" s="10"/>
      <c r="H25" s="7" t="s">
        <v>2442</v>
      </c>
      <c r="I25" s="7" t="s">
        <v>2443</v>
      </c>
      <c r="J25" s="7" t="s">
        <v>2363</v>
      </c>
      <c r="K25" s="7" t="s">
        <v>2421</v>
      </c>
      <c r="L25" s="11" t="str">
        <f>HYPERLINK("http://slimages.macys.com/is/image/MCY/9971657 ")</f>
        <v xml:space="preserve">http://slimages.macys.com/is/image/MCY/9971657 </v>
      </c>
    </row>
    <row r="26" spans="1:12" ht="39.950000000000003" customHeight="1" x14ac:dyDescent="0.25">
      <c r="A26" s="6" t="s">
        <v>1332</v>
      </c>
      <c r="B26" s="7" t="s">
        <v>1333</v>
      </c>
      <c r="C26" s="8">
        <v>1</v>
      </c>
      <c r="D26" s="9">
        <v>64.989999999999995</v>
      </c>
      <c r="E26" s="8" t="s">
        <v>1334</v>
      </c>
      <c r="F26" s="7" t="s">
        <v>1527</v>
      </c>
      <c r="G26" s="10"/>
      <c r="H26" s="7" t="s">
        <v>2387</v>
      </c>
      <c r="I26" s="7" t="s">
        <v>2592</v>
      </c>
      <c r="J26" s="7" t="s">
        <v>2363</v>
      </c>
      <c r="K26" s="7" t="s">
        <v>2421</v>
      </c>
      <c r="L26" s="11" t="str">
        <f>HYPERLINK("http://slimages.macys.com/is/image/MCY/12056304 ")</f>
        <v xml:space="preserve">http://slimages.macys.com/is/image/MCY/12056304 </v>
      </c>
    </row>
    <row r="27" spans="1:12" ht="39.950000000000003" customHeight="1" x14ac:dyDescent="0.25">
      <c r="A27" s="6" t="s">
        <v>1335</v>
      </c>
      <c r="B27" s="7" t="s">
        <v>1336</v>
      </c>
      <c r="C27" s="8">
        <v>1</v>
      </c>
      <c r="D27" s="9">
        <v>59.99</v>
      </c>
      <c r="E27" s="8">
        <v>2000000069</v>
      </c>
      <c r="F27" s="7" t="s">
        <v>2368</v>
      </c>
      <c r="G27" s="10"/>
      <c r="H27" s="7" t="s">
        <v>2369</v>
      </c>
      <c r="I27" s="7" t="s">
        <v>2370</v>
      </c>
      <c r="J27" s="7"/>
      <c r="K27" s="7"/>
      <c r="L27" s="11" t="str">
        <f>HYPERLINK("http://slimages.macys.com/is/image/MCY/17934327 ")</f>
        <v xml:space="preserve">http://slimages.macys.com/is/image/MCY/17934327 </v>
      </c>
    </row>
    <row r="28" spans="1:12" ht="39.950000000000003" customHeight="1" x14ac:dyDescent="0.25">
      <c r="A28" s="6" t="s">
        <v>1337</v>
      </c>
      <c r="B28" s="7" t="s">
        <v>1338</v>
      </c>
      <c r="C28" s="8">
        <v>1</v>
      </c>
      <c r="D28" s="9">
        <v>59.99</v>
      </c>
      <c r="E28" s="8">
        <v>56564</v>
      </c>
      <c r="F28" s="7" t="s">
        <v>2436</v>
      </c>
      <c r="G28" s="10"/>
      <c r="H28" s="7" t="s">
        <v>2391</v>
      </c>
      <c r="I28" s="7" t="s">
        <v>2456</v>
      </c>
      <c r="J28" s="7"/>
      <c r="K28" s="7"/>
      <c r="L28" s="11" t="str">
        <f>HYPERLINK("http://slimages.macys.com/is/image/MCY/16060208 ")</f>
        <v xml:space="preserve">http://slimages.macys.com/is/image/MCY/16060208 </v>
      </c>
    </row>
    <row r="29" spans="1:12" ht="39.950000000000003" customHeight="1" x14ac:dyDescent="0.25">
      <c r="A29" s="6" t="s">
        <v>1339</v>
      </c>
      <c r="B29" s="7" t="s">
        <v>1340</v>
      </c>
      <c r="C29" s="8">
        <v>1</v>
      </c>
      <c r="D29" s="9">
        <v>49.99</v>
      </c>
      <c r="E29" s="8" t="s">
        <v>1341</v>
      </c>
      <c r="F29" s="7" t="s">
        <v>2505</v>
      </c>
      <c r="G29" s="10"/>
      <c r="H29" s="7" t="s">
        <v>2387</v>
      </c>
      <c r="I29" s="7" t="s">
        <v>2404</v>
      </c>
      <c r="J29" s="7" t="s">
        <v>2363</v>
      </c>
      <c r="K29" s="7"/>
      <c r="L29" s="11" t="str">
        <f>HYPERLINK("http://slimages.macys.com/is/image/MCY/15255316 ")</f>
        <v xml:space="preserve">http://slimages.macys.com/is/image/MCY/15255316 </v>
      </c>
    </row>
    <row r="30" spans="1:12" ht="39.950000000000003" customHeight="1" x14ac:dyDescent="0.25">
      <c r="A30" s="6" t="s">
        <v>1342</v>
      </c>
      <c r="B30" s="7" t="s">
        <v>2801</v>
      </c>
      <c r="C30" s="8">
        <v>1</v>
      </c>
      <c r="D30" s="9">
        <v>78.11</v>
      </c>
      <c r="E30" s="8" t="s">
        <v>1343</v>
      </c>
      <c r="F30" s="7"/>
      <c r="G30" s="10"/>
      <c r="H30" s="7" t="s">
        <v>2387</v>
      </c>
      <c r="I30" s="7" t="s">
        <v>2404</v>
      </c>
      <c r="J30" s="7" t="s">
        <v>2363</v>
      </c>
      <c r="K30" s="7"/>
      <c r="L30" s="11" t="str">
        <f>HYPERLINK("http://slimages.macys.com/is/image/MCY/11764484 ")</f>
        <v xml:space="preserve">http://slimages.macys.com/is/image/MCY/11764484 </v>
      </c>
    </row>
    <row r="31" spans="1:12" ht="39.950000000000003" customHeight="1" x14ac:dyDescent="0.25">
      <c r="A31" s="6" t="s">
        <v>1344</v>
      </c>
      <c r="B31" s="7" t="s">
        <v>1345</v>
      </c>
      <c r="C31" s="8">
        <v>1</v>
      </c>
      <c r="D31" s="9">
        <v>59.99</v>
      </c>
      <c r="E31" s="8">
        <v>82255</v>
      </c>
      <c r="F31" s="7" t="s">
        <v>2615</v>
      </c>
      <c r="G31" s="10"/>
      <c r="H31" s="7" t="s">
        <v>2369</v>
      </c>
      <c r="I31" s="7" t="s">
        <v>3015</v>
      </c>
      <c r="J31" s="7" t="s">
        <v>2363</v>
      </c>
      <c r="K31" s="7" t="s">
        <v>1346</v>
      </c>
      <c r="L31" s="11" t="str">
        <f>HYPERLINK("http://slimages.macys.com/is/image/MCY/16522516 ")</f>
        <v xml:space="preserve">http://slimages.macys.com/is/image/MCY/16522516 </v>
      </c>
    </row>
    <row r="32" spans="1:12" ht="39.950000000000003" customHeight="1" x14ac:dyDescent="0.25">
      <c r="A32" s="6" t="s">
        <v>2896</v>
      </c>
      <c r="B32" s="7" t="s">
        <v>2897</v>
      </c>
      <c r="C32" s="8">
        <v>2</v>
      </c>
      <c r="D32" s="9">
        <v>149.97999999999999</v>
      </c>
      <c r="E32" s="8" t="s">
        <v>2898</v>
      </c>
      <c r="F32" s="7" t="s">
        <v>2355</v>
      </c>
      <c r="G32" s="10" t="s">
        <v>2646</v>
      </c>
      <c r="H32" s="7" t="s">
        <v>2413</v>
      </c>
      <c r="I32" s="7" t="s">
        <v>2414</v>
      </c>
      <c r="J32" s="7" t="s">
        <v>2452</v>
      </c>
      <c r="K32" s="7" t="s">
        <v>2668</v>
      </c>
      <c r="L32" s="11" t="str">
        <f>HYPERLINK("http://slimages.macys.com/is/image/MCY/13368404 ")</f>
        <v xml:space="preserve">http://slimages.macys.com/is/image/MCY/13368404 </v>
      </c>
    </row>
    <row r="33" spans="1:12" ht="39.950000000000003" customHeight="1" x14ac:dyDescent="0.25">
      <c r="A33" s="6" t="s">
        <v>2899</v>
      </c>
      <c r="B33" s="7" t="s">
        <v>2900</v>
      </c>
      <c r="C33" s="8">
        <v>1</v>
      </c>
      <c r="D33" s="9">
        <v>49.99</v>
      </c>
      <c r="E33" s="8">
        <v>19572229</v>
      </c>
      <c r="F33" s="7" t="s">
        <v>2512</v>
      </c>
      <c r="G33" s="10"/>
      <c r="H33" s="7" t="s">
        <v>2369</v>
      </c>
      <c r="I33" s="7" t="s">
        <v>2370</v>
      </c>
      <c r="J33" s="7" t="s">
        <v>2496</v>
      </c>
      <c r="K33" s="7" t="s">
        <v>2513</v>
      </c>
      <c r="L33" s="11" t="str">
        <f>HYPERLINK("http://slimages.macys.com/is/image/MCY/10622355 ")</f>
        <v xml:space="preserve">http://slimages.macys.com/is/image/MCY/10622355 </v>
      </c>
    </row>
    <row r="34" spans="1:12" ht="39.950000000000003" customHeight="1" x14ac:dyDescent="0.25">
      <c r="A34" s="6" t="s">
        <v>1376</v>
      </c>
      <c r="B34" s="7" t="s">
        <v>1377</v>
      </c>
      <c r="C34" s="8">
        <v>1</v>
      </c>
      <c r="D34" s="9">
        <v>49.99</v>
      </c>
      <c r="E34" s="8" t="s">
        <v>1378</v>
      </c>
      <c r="F34" s="7" t="s">
        <v>2368</v>
      </c>
      <c r="G34" s="10"/>
      <c r="H34" s="7" t="s">
        <v>2369</v>
      </c>
      <c r="I34" s="7" t="s">
        <v>2370</v>
      </c>
      <c r="J34" s="7" t="s">
        <v>2363</v>
      </c>
      <c r="K34" s="7" t="s">
        <v>2385</v>
      </c>
      <c r="L34" s="11" t="str">
        <f>HYPERLINK("http://slimages.macys.com/is/image/MCY/8347198 ")</f>
        <v xml:space="preserve">http://slimages.macys.com/is/image/MCY/8347198 </v>
      </c>
    </row>
    <row r="35" spans="1:12" ht="39.950000000000003" customHeight="1" x14ac:dyDescent="0.25">
      <c r="A35" s="6" t="s">
        <v>3051</v>
      </c>
      <c r="B35" s="7" t="s">
        <v>3052</v>
      </c>
      <c r="C35" s="8">
        <v>1</v>
      </c>
      <c r="D35" s="9">
        <v>49.99</v>
      </c>
      <c r="E35" s="8">
        <v>2000000035</v>
      </c>
      <c r="F35" s="7" t="s">
        <v>2512</v>
      </c>
      <c r="G35" s="10"/>
      <c r="H35" s="7" t="s">
        <v>2369</v>
      </c>
      <c r="I35" s="7" t="s">
        <v>2370</v>
      </c>
      <c r="J35" s="7"/>
      <c r="K35" s="7"/>
      <c r="L35" s="11" t="str">
        <f>HYPERLINK("http://slimages.macys.com/is/image/MCY/17814255 ")</f>
        <v xml:space="preserve">http://slimages.macys.com/is/image/MCY/17814255 </v>
      </c>
    </row>
    <row r="36" spans="1:12" ht="39.950000000000003" customHeight="1" x14ac:dyDescent="0.25">
      <c r="A36" s="6" t="s">
        <v>1347</v>
      </c>
      <c r="B36" s="7" t="s">
        <v>1348</v>
      </c>
      <c r="C36" s="8">
        <v>1</v>
      </c>
      <c r="D36" s="9">
        <v>59.99</v>
      </c>
      <c r="E36" s="8" t="s">
        <v>1349</v>
      </c>
      <c r="F36" s="7" t="s">
        <v>2495</v>
      </c>
      <c r="G36" s="10"/>
      <c r="H36" s="7" t="s">
        <v>2486</v>
      </c>
      <c r="I36" s="7" t="s">
        <v>2585</v>
      </c>
      <c r="J36" s="7"/>
      <c r="K36" s="7"/>
      <c r="L36" s="11" t="str">
        <f>HYPERLINK("http://slimages.macys.com/is/image/MCY/13925898 ")</f>
        <v xml:space="preserve">http://slimages.macys.com/is/image/MCY/13925898 </v>
      </c>
    </row>
    <row r="37" spans="1:12" ht="39.950000000000003" customHeight="1" x14ac:dyDescent="0.25">
      <c r="A37" s="6" t="s">
        <v>2630</v>
      </c>
      <c r="B37" s="7" t="s">
        <v>2631</v>
      </c>
      <c r="C37" s="8">
        <v>1</v>
      </c>
      <c r="D37" s="9">
        <v>49.99</v>
      </c>
      <c r="E37" s="8" t="s">
        <v>2632</v>
      </c>
      <c r="F37" s="7"/>
      <c r="G37" s="10"/>
      <c r="H37" s="7" t="s">
        <v>2369</v>
      </c>
      <c r="I37" s="7" t="s">
        <v>2431</v>
      </c>
      <c r="J37" s="7"/>
      <c r="K37" s="7"/>
      <c r="L37" s="11" t="str">
        <f>HYPERLINK("http://slimages.macys.com/is/image/MCY/17088229 ")</f>
        <v xml:space="preserve">http://slimages.macys.com/is/image/MCY/17088229 </v>
      </c>
    </row>
    <row r="38" spans="1:12" ht="39.950000000000003" customHeight="1" x14ac:dyDescent="0.25">
      <c r="A38" s="6" t="s">
        <v>1350</v>
      </c>
      <c r="B38" s="7" t="s">
        <v>1351</v>
      </c>
      <c r="C38" s="8">
        <v>1</v>
      </c>
      <c r="D38" s="9">
        <v>49.99</v>
      </c>
      <c r="E38" s="8" t="s">
        <v>1352</v>
      </c>
      <c r="F38" s="7"/>
      <c r="G38" s="10"/>
      <c r="H38" s="7" t="s">
        <v>2369</v>
      </c>
      <c r="I38" s="7" t="s">
        <v>2431</v>
      </c>
      <c r="J38" s="7"/>
      <c r="K38" s="7"/>
      <c r="L38" s="11" t="str">
        <f>HYPERLINK("http://slimages.macys.com/is/image/MCY/16826931 ")</f>
        <v xml:space="preserve">http://slimages.macys.com/is/image/MCY/16826931 </v>
      </c>
    </row>
    <row r="39" spans="1:12" ht="39.950000000000003" customHeight="1" x14ac:dyDescent="0.25">
      <c r="A39" s="6" t="s">
        <v>1353</v>
      </c>
      <c r="B39" s="7" t="s">
        <v>1354</v>
      </c>
      <c r="C39" s="8">
        <v>1</v>
      </c>
      <c r="D39" s="9">
        <v>57.99</v>
      </c>
      <c r="E39" s="8" t="s">
        <v>1355</v>
      </c>
      <c r="F39" s="7" t="s">
        <v>2623</v>
      </c>
      <c r="G39" s="10"/>
      <c r="H39" s="7" t="s">
        <v>2391</v>
      </c>
      <c r="I39" s="7" t="s">
        <v>2661</v>
      </c>
      <c r="J39" s="7" t="s">
        <v>2363</v>
      </c>
      <c r="K39" s="7" t="s">
        <v>2385</v>
      </c>
      <c r="L39" s="11" t="str">
        <f>HYPERLINK("http://slimages.macys.com/is/image/MCY/14425148 ")</f>
        <v xml:space="preserve">http://slimages.macys.com/is/image/MCY/14425148 </v>
      </c>
    </row>
    <row r="40" spans="1:12" ht="39.950000000000003" customHeight="1" x14ac:dyDescent="0.25">
      <c r="A40" s="6" t="s">
        <v>1926</v>
      </c>
      <c r="B40" s="7" t="s">
        <v>1927</v>
      </c>
      <c r="C40" s="8">
        <v>1</v>
      </c>
      <c r="D40" s="9">
        <v>69.989999999999995</v>
      </c>
      <c r="E40" s="8" t="s">
        <v>1928</v>
      </c>
      <c r="F40" s="7" t="s">
        <v>2355</v>
      </c>
      <c r="G40" s="10"/>
      <c r="H40" s="7" t="s">
        <v>2413</v>
      </c>
      <c r="I40" s="7" t="s">
        <v>2414</v>
      </c>
      <c r="J40" s="7" t="s">
        <v>2452</v>
      </c>
      <c r="K40" s="7" t="s">
        <v>2668</v>
      </c>
      <c r="L40" s="11" t="str">
        <f>HYPERLINK("http://slimages.macys.com/is/image/MCY/13368359 ")</f>
        <v xml:space="preserve">http://slimages.macys.com/is/image/MCY/13368359 </v>
      </c>
    </row>
    <row r="41" spans="1:12" ht="39.950000000000003" customHeight="1" x14ac:dyDescent="0.25">
      <c r="A41" s="6" t="s">
        <v>2597</v>
      </c>
      <c r="B41" s="7" t="s">
        <v>2598</v>
      </c>
      <c r="C41" s="8">
        <v>1</v>
      </c>
      <c r="D41" s="9">
        <v>49.99</v>
      </c>
      <c r="E41" s="8" t="s">
        <v>2599</v>
      </c>
      <c r="F41" s="7" t="s">
        <v>2600</v>
      </c>
      <c r="G41" s="10"/>
      <c r="H41" s="7" t="s">
        <v>2387</v>
      </c>
      <c r="I41" s="7" t="s">
        <v>2404</v>
      </c>
      <c r="J41" s="7"/>
      <c r="K41" s="7"/>
      <c r="L41" s="11" t="str">
        <f>HYPERLINK("http://slimages.macys.com/is/image/MCY/17968749 ")</f>
        <v xml:space="preserve">http://slimages.macys.com/is/image/MCY/17968749 </v>
      </c>
    </row>
    <row r="42" spans="1:12" ht="39.950000000000003" customHeight="1" x14ac:dyDescent="0.25">
      <c r="A42" s="6" t="s">
        <v>1356</v>
      </c>
      <c r="B42" s="7" t="s">
        <v>1357</v>
      </c>
      <c r="C42" s="8">
        <v>2</v>
      </c>
      <c r="D42" s="9">
        <v>99.98</v>
      </c>
      <c r="E42" s="8">
        <v>2000000039</v>
      </c>
      <c r="F42" s="7" t="s">
        <v>2512</v>
      </c>
      <c r="G42" s="10"/>
      <c r="H42" s="7" t="s">
        <v>2369</v>
      </c>
      <c r="I42" s="7" t="s">
        <v>2370</v>
      </c>
      <c r="J42" s="7"/>
      <c r="K42" s="7"/>
      <c r="L42" s="11" t="str">
        <f>HYPERLINK("http://slimages.macys.com/is/image/MCY/17814601 ")</f>
        <v xml:space="preserve">http://slimages.macys.com/is/image/MCY/17814601 </v>
      </c>
    </row>
    <row r="43" spans="1:12" ht="39.950000000000003" customHeight="1" x14ac:dyDescent="0.25">
      <c r="A43" s="6" t="s">
        <v>2521</v>
      </c>
      <c r="B43" s="7" t="s">
        <v>2522</v>
      </c>
      <c r="C43" s="8">
        <v>2</v>
      </c>
      <c r="D43" s="9">
        <v>159.97999999999999</v>
      </c>
      <c r="E43" s="8" t="s">
        <v>2523</v>
      </c>
      <c r="F43" s="7" t="s">
        <v>2495</v>
      </c>
      <c r="G43" s="10"/>
      <c r="H43" s="7" t="s">
        <v>2413</v>
      </c>
      <c r="I43" s="7" t="s">
        <v>2524</v>
      </c>
      <c r="J43" s="7" t="s">
        <v>2363</v>
      </c>
      <c r="K43" s="7" t="s">
        <v>2525</v>
      </c>
      <c r="L43" s="11" t="str">
        <f>HYPERLINK("http://slimages.macys.com/is/image/MCY/13121400 ")</f>
        <v xml:space="preserve">http://slimages.macys.com/is/image/MCY/13121400 </v>
      </c>
    </row>
    <row r="44" spans="1:12" ht="39.950000000000003" customHeight="1" x14ac:dyDescent="0.25">
      <c r="A44" s="6" t="s">
        <v>1358</v>
      </c>
      <c r="B44" s="7" t="s">
        <v>1359</v>
      </c>
      <c r="C44" s="8">
        <v>1</v>
      </c>
      <c r="D44" s="9">
        <v>79.989999999999995</v>
      </c>
      <c r="E44" s="8" t="s">
        <v>1360</v>
      </c>
      <c r="F44" s="7" t="s">
        <v>2355</v>
      </c>
      <c r="G44" s="10" t="s">
        <v>2646</v>
      </c>
      <c r="H44" s="7" t="s">
        <v>2413</v>
      </c>
      <c r="I44" s="7" t="s">
        <v>2499</v>
      </c>
      <c r="J44" s="7" t="s">
        <v>2795</v>
      </c>
      <c r="K44" s="7"/>
      <c r="L44" s="11" t="str">
        <f>HYPERLINK("http://slimages.macys.com/is/image/MCY/12779303 ")</f>
        <v xml:space="preserve">http://slimages.macys.com/is/image/MCY/12779303 </v>
      </c>
    </row>
    <row r="45" spans="1:12" ht="39.950000000000003" customHeight="1" x14ac:dyDescent="0.25">
      <c r="A45" s="6" t="s">
        <v>1641</v>
      </c>
      <c r="B45" s="7" t="s">
        <v>1642</v>
      </c>
      <c r="C45" s="8">
        <v>1</v>
      </c>
      <c r="D45" s="9">
        <v>78.11</v>
      </c>
      <c r="E45" s="8" t="s">
        <v>1643</v>
      </c>
      <c r="F45" s="7"/>
      <c r="G45" s="10"/>
      <c r="H45" s="7" t="s">
        <v>2407</v>
      </c>
      <c r="I45" s="7" t="s">
        <v>2434</v>
      </c>
      <c r="J45" s="7"/>
      <c r="K45" s="7"/>
      <c r="L45" s="11" t="str">
        <f>HYPERLINK("http://slimages.macys.com/is/image/MCY/17546507 ")</f>
        <v xml:space="preserve">http://slimages.macys.com/is/image/MCY/17546507 </v>
      </c>
    </row>
    <row r="46" spans="1:12" ht="39.950000000000003" customHeight="1" x14ac:dyDescent="0.25">
      <c r="A46" s="6" t="s">
        <v>1361</v>
      </c>
      <c r="B46" s="7" t="s">
        <v>1362</v>
      </c>
      <c r="C46" s="8">
        <v>2</v>
      </c>
      <c r="D46" s="9">
        <v>79.98</v>
      </c>
      <c r="E46" s="8">
        <v>65716</v>
      </c>
      <c r="F46" s="7" t="s">
        <v>2355</v>
      </c>
      <c r="G46" s="10"/>
      <c r="H46" s="7" t="s">
        <v>2407</v>
      </c>
      <c r="I46" s="7" t="s">
        <v>2462</v>
      </c>
      <c r="J46" s="7" t="s">
        <v>2363</v>
      </c>
      <c r="K46" s="7" t="s">
        <v>2421</v>
      </c>
      <c r="L46" s="11" t="str">
        <f>HYPERLINK("http://slimages.macys.com/is/image/MCY/14371062 ")</f>
        <v xml:space="preserve">http://slimages.macys.com/is/image/MCY/14371062 </v>
      </c>
    </row>
    <row r="47" spans="1:12" ht="39.950000000000003" customHeight="1" x14ac:dyDescent="0.25">
      <c r="A47" s="6" t="s">
        <v>3174</v>
      </c>
      <c r="B47" s="7" t="s">
        <v>3175</v>
      </c>
      <c r="C47" s="8">
        <v>1</v>
      </c>
      <c r="D47" s="9">
        <v>39.99</v>
      </c>
      <c r="E47" s="8" t="s">
        <v>3176</v>
      </c>
      <c r="F47" s="7" t="s">
        <v>2512</v>
      </c>
      <c r="G47" s="10"/>
      <c r="H47" s="7" t="s">
        <v>2532</v>
      </c>
      <c r="I47" s="7" t="s">
        <v>2543</v>
      </c>
      <c r="J47" s="7"/>
      <c r="K47" s="7"/>
      <c r="L47" s="11" t="str">
        <f>HYPERLINK("http://slimages.macys.com/is/image/MCY/17724992 ")</f>
        <v xml:space="preserve">http://slimages.macys.com/is/image/MCY/17724992 </v>
      </c>
    </row>
    <row r="48" spans="1:12" ht="39.950000000000003" customHeight="1" x14ac:dyDescent="0.25">
      <c r="A48" s="6" t="s">
        <v>2303</v>
      </c>
      <c r="B48" s="7" t="s">
        <v>2304</v>
      </c>
      <c r="C48" s="8">
        <v>1</v>
      </c>
      <c r="D48" s="9">
        <v>29.99</v>
      </c>
      <c r="E48" s="8">
        <v>2000000022</v>
      </c>
      <c r="F48" s="7"/>
      <c r="G48" s="10"/>
      <c r="H48" s="7" t="s">
        <v>2369</v>
      </c>
      <c r="I48" s="7" t="s">
        <v>2370</v>
      </c>
      <c r="J48" s="7"/>
      <c r="K48" s="7"/>
      <c r="L48" s="11" t="str">
        <f>HYPERLINK("http://slimages.macys.com/is/image/MCY/17597180 ")</f>
        <v xml:space="preserve">http://slimages.macys.com/is/image/MCY/17597180 </v>
      </c>
    </row>
    <row r="49" spans="1:12" ht="39.950000000000003" customHeight="1" x14ac:dyDescent="0.25">
      <c r="A49" s="6" t="s">
        <v>1941</v>
      </c>
      <c r="B49" s="7" t="s">
        <v>1942</v>
      </c>
      <c r="C49" s="8">
        <v>1</v>
      </c>
      <c r="D49" s="9">
        <v>29.99</v>
      </c>
      <c r="E49" s="8" t="s">
        <v>1943</v>
      </c>
      <c r="F49" s="7" t="s">
        <v>2505</v>
      </c>
      <c r="G49" s="10"/>
      <c r="H49" s="7" t="s">
        <v>2369</v>
      </c>
      <c r="I49" s="7" t="s">
        <v>2431</v>
      </c>
      <c r="J49" s="7" t="s">
        <v>2363</v>
      </c>
      <c r="K49" s="7" t="s">
        <v>2385</v>
      </c>
      <c r="L49" s="11" t="str">
        <f>HYPERLINK("http://slimages.macys.com/is/image/MCY/10652381 ")</f>
        <v xml:space="preserve">http://slimages.macys.com/is/image/MCY/10652381 </v>
      </c>
    </row>
    <row r="50" spans="1:12" ht="39.950000000000003" customHeight="1" x14ac:dyDescent="0.25">
      <c r="A50" s="6" t="s">
        <v>1363</v>
      </c>
      <c r="B50" s="7" t="s">
        <v>0</v>
      </c>
      <c r="C50" s="8">
        <v>1</v>
      </c>
      <c r="D50" s="9">
        <v>29.99</v>
      </c>
      <c r="E50" s="8" t="s">
        <v>1</v>
      </c>
      <c r="F50" s="7"/>
      <c r="G50" s="10"/>
      <c r="H50" s="7" t="s">
        <v>2369</v>
      </c>
      <c r="I50" s="7" t="s">
        <v>2431</v>
      </c>
      <c r="J50" s="7"/>
      <c r="K50" s="7"/>
      <c r="L50" s="11" t="str">
        <f>HYPERLINK("http://slimages.macys.com/is/image/MCY/17887693 ")</f>
        <v xml:space="preserve">http://slimages.macys.com/is/image/MCY/17887693 </v>
      </c>
    </row>
    <row r="51" spans="1:12" ht="39.950000000000003" customHeight="1" x14ac:dyDescent="0.25">
      <c r="A51" s="6" t="s">
        <v>2</v>
      </c>
      <c r="B51" s="7" t="s">
        <v>3</v>
      </c>
      <c r="C51" s="8">
        <v>1</v>
      </c>
      <c r="D51" s="9">
        <v>29.99</v>
      </c>
      <c r="E51" s="8" t="s">
        <v>4</v>
      </c>
      <c r="F51" s="7"/>
      <c r="G51" s="10"/>
      <c r="H51" s="7" t="s">
        <v>2369</v>
      </c>
      <c r="I51" s="7" t="s">
        <v>2431</v>
      </c>
      <c r="J51" s="7"/>
      <c r="K51" s="7"/>
      <c r="L51" s="11" t="str">
        <f>HYPERLINK("http://slimages.macys.com/is/image/MCY/17597058 ")</f>
        <v xml:space="preserve">http://slimages.macys.com/is/image/MCY/17597058 </v>
      </c>
    </row>
    <row r="52" spans="1:12" ht="39.950000000000003" customHeight="1" x14ac:dyDescent="0.25">
      <c r="A52" s="6" t="s">
        <v>5</v>
      </c>
      <c r="B52" s="7" t="s">
        <v>6</v>
      </c>
      <c r="C52" s="8">
        <v>1</v>
      </c>
      <c r="D52" s="9">
        <v>29.99</v>
      </c>
      <c r="E52" s="8" t="s">
        <v>7</v>
      </c>
      <c r="F52" s="7" t="s">
        <v>2600</v>
      </c>
      <c r="G52" s="10"/>
      <c r="H52" s="7" t="s">
        <v>2369</v>
      </c>
      <c r="I52" s="7" t="s">
        <v>2431</v>
      </c>
      <c r="J52" s="7"/>
      <c r="K52" s="7"/>
      <c r="L52" s="11" t="str">
        <f>HYPERLINK("http://slimages.macys.com/is/image/MCY/17888256 ")</f>
        <v xml:space="preserve">http://slimages.macys.com/is/image/MCY/17888256 </v>
      </c>
    </row>
    <row r="53" spans="1:12" ht="39.950000000000003" customHeight="1" x14ac:dyDescent="0.25">
      <c r="A53" s="6" t="s">
        <v>8</v>
      </c>
      <c r="B53" s="7" t="s">
        <v>9</v>
      </c>
      <c r="C53" s="8">
        <v>1</v>
      </c>
      <c r="D53" s="9">
        <v>35.99</v>
      </c>
      <c r="E53" s="8" t="s">
        <v>10</v>
      </c>
      <c r="F53" s="7" t="s">
        <v>2506</v>
      </c>
      <c r="G53" s="10"/>
      <c r="H53" s="7" t="s">
        <v>2391</v>
      </c>
      <c r="I53" s="7" t="s">
        <v>2633</v>
      </c>
      <c r="J53" s="7" t="s">
        <v>2363</v>
      </c>
      <c r="K53" s="7" t="s">
        <v>11</v>
      </c>
      <c r="L53" s="11" t="str">
        <f>HYPERLINK("http://slimages.macys.com/is/image/MCY/15895728 ")</f>
        <v xml:space="preserve">http://slimages.macys.com/is/image/MCY/15895728 </v>
      </c>
    </row>
    <row r="54" spans="1:12" ht="39.950000000000003" customHeight="1" x14ac:dyDescent="0.25">
      <c r="A54" s="6" t="s">
        <v>12</v>
      </c>
      <c r="B54" s="7" t="s">
        <v>13</v>
      </c>
      <c r="C54" s="8">
        <v>2</v>
      </c>
      <c r="D54" s="9">
        <v>59.98</v>
      </c>
      <c r="E54" s="8">
        <v>55022</v>
      </c>
      <c r="F54" s="7" t="s">
        <v>2446</v>
      </c>
      <c r="G54" s="10"/>
      <c r="H54" s="7" t="s">
        <v>2391</v>
      </c>
      <c r="I54" s="7" t="s">
        <v>2456</v>
      </c>
      <c r="J54" s="7" t="s">
        <v>2363</v>
      </c>
      <c r="K54" s="7" t="s">
        <v>2385</v>
      </c>
      <c r="L54" s="11" t="str">
        <f>HYPERLINK("http://slimages.macys.com/is/image/MCY/12936265 ")</f>
        <v xml:space="preserve">http://slimages.macys.com/is/image/MCY/12936265 </v>
      </c>
    </row>
    <row r="55" spans="1:12" ht="39.950000000000003" customHeight="1" x14ac:dyDescent="0.25">
      <c r="A55" s="6" t="s">
        <v>14</v>
      </c>
      <c r="B55" s="7" t="s">
        <v>15</v>
      </c>
      <c r="C55" s="8">
        <v>1</v>
      </c>
      <c r="D55" s="9">
        <v>35.99</v>
      </c>
      <c r="E55" s="8" t="s">
        <v>16</v>
      </c>
      <c r="F55" s="7" t="s">
        <v>2379</v>
      </c>
      <c r="G55" s="10"/>
      <c r="H55" s="7" t="s">
        <v>2391</v>
      </c>
      <c r="I55" s="7" t="s">
        <v>2633</v>
      </c>
      <c r="J55" s="7" t="s">
        <v>2363</v>
      </c>
      <c r="K55" s="7" t="s">
        <v>11</v>
      </c>
      <c r="L55" s="11" t="str">
        <f>HYPERLINK("http://slimages.macys.com/is/image/MCY/15895728 ")</f>
        <v xml:space="preserve">http://slimages.macys.com/is/image/MCY/15895728 </v>
      </c>
    </row>
    <row r="56" spans="1:12" ht="39.950000000000003" customHeight="1" x14ac:dyDescent="0.25">
      <c r="A56" s="6" t="s">
        <v>17</v>
      </c>
      <c r="B56" s="7" t="s">
        <v>18</v>
      </c>
      <c r="C56" s="8">
        <v>1</v>
      </c>
      <c r="D56" s="9">
        <v>29.99</v>
      </c>
      <c r="E56" s="8" t="s">
        <v>19</v>
      </c>
      <c r="F56" s="7" t="s">
        <v>2368</v>
      </c>
      <c r="G56" s="10"/>
      <c r="H56" s="7" t="s">
        <v>2369</v>
      </c>
      <c r="I56" s="7" t="s">
        <v>2961</v>
      </c>
      <c r="J56" s="7"/>
      <c r="K56" s="7"/>
      <c r="L56" s="11" t="str">
        <f>HYPERLINK("http://slimages.macys.com/is/image/MCY/17858101 ")</f>
        <v xml:space="preserve">http://slimages.macys.com/is/image/MCY/17858101 </v>
      </c>
    </row>
    <row r="57" spans="1:12" ht="39.950000000000003" customHeight="1" x14ac:dyDescent="0.25">
      <c r="A57" s="6" t="s">
        <v>20</v>
      </c>
      <c r="B57" s="7" t="s">
        <v>21</v>
      </c>
      <c r="C57" s="8">
        <v>1</v>
      </c>
      <c r="D57" s="9">
        <v>24.99</v>
      </c>
      <c r="E57" s="8" t="s">
        <v>22</v>
      </c>
      <c r="F57" s="7" t="s">
        <v>2355</v>
      </c>
      <c r="G57" s="10"/>
      <c r="H57" s="7" t="s">
        <v>2532</v>
      </c>
      <c r="I57" s="7" t="s">
        <v>23</v>
      </c>
      <c r="J57" s="7" t="s">
        <v>2363</v>
      </c>
      <c r="K57" s="7" t="s">
        <v>2402</v>
      </c>
      <c r="L57" s="11" t="str">
        <f>HYPERLINK("http://slimages.macys.com/is/image/MCY/9651869 ")</f>
        <v xml:space="preserve">http://slimages.macys.com/is/image/MCY/9651869 </v>
      </c>
    </row>
    <row r="58" spans="1:12" ht="39.950000000000003" customHeight="1" x14ac:dyDescent="0.25">
      <c r="A58" s="6" t="s">
        <v>24</v>
      </c>
      <c r="B58" s="7" t="s">
        <v>25</v>
      </c>
      <c r="C58" s="8">
        <v>1</v>
      </c>
      <c r="D58" s="9">
        <v>35.99</v>
      </c>
      <c r="E58" s="8" t="s">
        <v>3304</v>
      </c>
      <c r="F58" s="7" t="s">
        <v>2512</v>
      </c>
      <c r="G58" s="10" t="s">
        <v>2410</v>
      </c>
      <c r="H58" s="7" t="s">
        <v>2545</v>
      </c>
      <c r="I58" s="7" t="s">
        <v>2546</v>
      </c>
      <c r="J58" s="7" t="s">
        <v>2496</v>
      </c>
      <c r="K58" s="7" t="s">
        <v>2385</v>
      </c>
      <c r="L58" s="11" t="str">
        <f>HYPERLINK("http://slimages.macys.com/is/image/MCY/9489266 ")</f>
        <v xml:space="preserve">http://slimages.macys.com/is/image/MCY/9489266 </v>
      </c>
    </row>
    <row r="59" spans="1:12" ht="39.950000000000003" customHeight="1" x14ac:dyDescent="0.25">
      <c r="A59" s="6" t="s">
        <v>26</v>
      </c>
      <c r="B59" s="7" t="s">
        <v>27</v>
      </c>
      <c r="C59" s="8">
        <v>1</v>
      </c>
      <c r="D59" s="9">
        <v>29.99</v>
      </c>
      <c r="E59" s="8" t="s">
        <v>28</v>
      </c>
      <c r="F59" s="7" t="s">
        <v>2512</v>
      </c>
      <c r="G59" s="10"/>
      <c r="H59" s="7" t="s">
        <v>2387</v>
      </c>
      <c r="I59" s="7" t="s">
        <v>2559</v>
      </c>
      <c r="J59" s="7"/>
      <c r="K59" s="7"/>
      <c r="L59" s="11" t="str">
        <f>HYPERLINK("http://slimages.macys.com/is/image/MCY/17923602 ")</f>
        <v xml:space="preserve">http://slimages.macys.com/is/image/MCY/17923602 </v>
      </c>
    </row>
    <row r="60" spans="1:12" ht="39.950000000000003" customHeight="1" x14ac:dyDescent="0.25">
      <c r="A60" s="6" t="s">
        <v>2827</v>
      </c>
      <c r="B60" s="7" t="s">
        <v>2828</v>
      </c>
      <c r="C60" s="8">
        <v>1</v>
      </c>
      <c r="D60" s="9">
        <v>24.99</v>
      </c>
      <c r="E60" s="8">
        <v>1641767</v>
      </c>
      <c r="F60" s="7" t="s">
        <v>2355</v>
      </c>
      <c r="G60" s="10"/>
      <c r="H60" s="7" t="s">
        <v>2407</v>
      </c>
      <c r="I60" s="7" t="s">
        <v>2562</v>
      </c>
      <c r="J60" s="7"/>
      <c r="K60" s="7"/>
      <c r="L60" s="11" t="str">
        <f>HYPERLINK("http://slimages.macys.com/is/image/MCY/18514717 ")</f>
        <v xml:space="preserve">http://slimages.macys.com/is/image/MCY/18514717 </v>
      </c>
    </row>
    <row r="61" spans="1:12" ht="39.950000000000003" customHeight="1" x14ac:dyDescent="0.25">
      <c r="A61" s="6" t="s">
        <v>29</v>
      </c>
      <c r="B61" s="7" t="s">
        <v>30</v>
      </c>
      <c r="C61" s="8">
        <v>1</v>
      </c>
      <c r="D61" s="9">
        <v>24.99</v>
      </c>
      <c r="E61" s="8" t="s">
        <v>31</v>
      </c>
      <c r="F61" s="7" t="s">
        <v>2481</v>
      </c>
      <c r="G61" s="10"/>
      <c r="H61" s="7" t="s">
        <v>2391</v>
      </c>
      <c r="I61" s="7" t="s">
        <v>2656</v>
      </c>
      <c r="J61" s="7" t="s">
        <v>2363</v>
      </c>
      <c r="K61" s="7" t="s">
        <v>2385</v>
      </c>
      <c r="L61" s="11" t="str">
        <f>HYPERLINK("http://slimages.macys.com/is/image/MCY/15491404 ")</f>
        <v xml:space="preserve">http://slimages.macys.com/is/image/MCY/15491404 </v>
      </c>
    </row>
    <row r="62" spans="1:12" ht="39.950000000000003" customHeight="1" x14ac:dyDescent="0.25">
      <c r="A62" s="6" t="s">
        <v>32</v>
      </c>
      <c r="B62" s="7" t="s">
        <v>33</v>
      </c>
      <c r="C62" s="8">
        <v>1</v>
      </c>
      <c r="D62" s="9">
        <v>34.99</v>
      </c>
      <c r="E62" s="8" t="s">
        <v>34</v>
      </c>
      <c r="F62" s="7" t="s">
        <v>2477</v>
      </c>
      <c r="G62" s="10"/>
      <c r="H62" s="7" t="s">
        <v>2375</v>
      </c>
      <c r="I62" s="7" t="s">
        <v>2376</v>
      </c>
      <c r="J62" s="7"/>
      <c r="K62" s="7"/>
      <c r="L62" s="11" t="str">
        <f>HYPERLINK("http://slimages.macys.com/is/image/MCY/18893499 ")</f>
        <v xml:space="preserve">http://slimages.macys.com/is/image/MCY/18893499 </v>
      </c>
    </row>
    <row r="63" spans="1:12" ht="39.950000000000003" customHeight="1" x14ac:dyDescent="0.25">
      <c r="A63" s="6" t="s">
        <v>35</v>
      </c>
      <c r="B63" s="7" t="s">
        <v>36</v>
      </c>
      <c r="C63" s="8">
        <v>1</v>
      </c>
      <c r="D63" s="9">
        <v>20.99</v>
      </c>
      <c r="E63" s="8" t="s">
        <v>37</v>
      </c>
      <c r="F63" s="7" t="s">
        <v>2615</v>
      </c>
      <c r="G63" s="10"/>
      <c r="H63" s="7" t="s">
        <v>2532</v>
      </c>
      <c r="I63" s="7" t="s">
        <v>2635</v>
      </c>
      <c r="J63" s="7"/>
      <c r="K63" s="7"/>
      <c r="L63" s="11" t="str">
        <f>HYPERLINK("http://slimages.macys.com/is/image/MCY/17557482 ")</f>
        <v xml:space="preserve">http://slimages.macys.com/is/image/MCY/17557482 </v>
      </c>
    </row>
    <row r="64" spans="1:12" ht="39.950000000000003" customHeight="1" x14ac:dyDescent="0.25">
      <c r="A64" s="6" t="s">
        <v>38</v>
      </c>
      <c r="B64" s="7" t="s">
        <v>39</v>
      </c>
      <c r="C64" s="8">
        <v>2</v>
      </c>
      <c r="D64" s="9">
        <v>49.98</v>
      </c>
      <c r="E64" s="8">
        <v>21104</v>
      </c>
      <c r="F64" s="7" t="s">
        <v>2355</v>
      </c>
      <c r="G64" s="10" t="s">
        <v>2750</v>
      </c>
      <c r="H64" s="7" t="s">
        <v>2407</v>
      </c>
      <c r="I64" s="7" t="s">
        <v>2462</v>
      </c>
      <c r="J64" s="7"/>
      <c r="K64" s="7"/>
      <c r="L64" s="11" t="str">
        <f>HYPERLINK("http://slimages.macys.com/is/image/MCY/17673743 ")</f>
        <v xml:space="preserve">http://slimages.macys.com/is/image/MCY/17673743 </v>
      </c>
    </row>
    <row r="65" spans="1:12" ht="39.950000000000003" customHeight="1" x14ac:dyDescent="0.25">
      <c r="A65" s="6" t="s">
        <v>40</v>
      </c>
      <c r="B65" s="7" t="s">
        <v>41</v>
      </c>
      <c r="C65" s="8">
        <v>1</v>
      </c>
      <c r="D65" s="9">
        <v>78.11</v>
      </c>
      <c r="E65" s="8" t="s">
        <v>42</v>
      </c>
      <c r="F65" s="7"/>
      <c r="G65" s="10"/>
      <c r="H65" s="7" t="s">
        <v>2458</v>
      </c>
      <c r="I65" s="7" t="s">
        <v>2380</v>
      </c>
      <c r="J65" s="7" t="s">
        <v>2363</v>
      </c>
      <c r="K65" s="7" t="s">
        <v>2421</v>
      </c>
      <c r="L65" s="11" t="str">
        <f>HYPERLINK("http://slimages.macys.com/is/image/MCY/1412015 ")</f>
        <v xml:space="preserve">http://slimages.macys.com/is/image/MCY/1412015 </v>
      </c>
    </row>
    <row r="66" spans="1:12" ht="39.950000000000003" customHeight="1" x14ac:dyDescent="0.25">
      <c r="A66" s="6" t="s">
        <v>2853</v>
      </c>
      <c r="B66" s="7" t="s">
        <v>2854</v>
      </c>
      <c r="C66" s="8">
        <v>1</v>
      </c>
      <c r="D66" s="9">
        <v>35.99</v>
      </c>
      <c r="E66" s="8" t="s">
        <v>2855</v>
      </c>
      <c r="F66" s="7" t="s">
        <v>2468</v>
      </c>
      <c r="G66" s="10" t="s">
        <v>2406</v>
      </c>
      <c r="H66" s="7" t="s">
        <v>2413</v>
      </c>
      <c r="I66" s="7" t="s">
        <v>2555</v>
      </c>
      <c r="J66" s="7" t="s">
        <v>2496</v>
      </c>
      <c r="K66" s="7"/>
      <c r="L66" s="11" t="str">
        <f>HYPERLINK("http://slimages.macys.com/is/image/MCY/9406085 ")</f>
        <v xml:space="preserve">http://slimages.macys.com/is/image/MCY/9406085 </v>
      </c>
    </row>
    <row r="67" spans="1:12" ht="39.950000000000003" customHeight="1" x14ac:dyDescent="0.25">
      <c r="A67" s="6" t="s">
        <v>43</v>
      </c>
      <c r="B67" s="7" t="s">
        <v>44</v>
      </c>
      <c r="C67" s="8">
        <v>1</v>
      </c>
      <c r="D67" s="9">
        <v>39.99</v>
      </c>
      <c r="E67" s="8" t="s">
        <v>45</v>
      </c>
      <c r="F67" s="7" t="s">
        <v>2355</v>
      </c>
      <c r="G67" s="10"/>
      <c r="H67" s="7" t="s">
        <v>2396</v>
      </c>
      <c r="I67" s="7" t="s">
        <v>2787</v>
      </c>
      <c r="J67" s="7" t="s">
        <v>2363</v>
      </c>
      <c r="K67" s="7"/>
      <c r="L67" s="11" t="str">
        <f>HYPERLINK("http://slimages.macys.com/is/image/MCY/8813976 ")</f>
        <v xml:space="preserve">http://slimages.macys.com/is/image/MCY/8813976 </v>
      </c>
    </row>
    <row r="68" spans="1:12" ht="39.950000000000003" customHeight="1" x14ac:dyDescent="0.25">
      <c r="A68" s="6" t="s">
        <v>46</v>
      </c>
      <c r="B68" s="7" t="s">
        <v>47</v>
      </c>
      <c r="C68" s="8">
        <v>1</v>
      </c>
      <c r="D68" s="9">
        <v>22.99</v>
      </c>
      <c r="E68" s="8">
        <v>24842</v>
      </c>
      <c r="F68" s="7" t="s">
        <v>2355</v>
      </c>
      <c r="G68" s="10"/>
      <c r="H68" s="7" t="s">
        <v>2407</v>
      </c>
      <c r="I68" s="7" t="s">
        <v>2462</v>
      </c>
      <c r="J68" s="7" t="s">
        <v>2363</v>
      </c>
      <c r="K68" s="7" t="s">
        <v>48</v>
      </c>
      <c r="L68" s="11" t="str">
        <f>HYPERLINK("http://slimages.macys.com/is/image/MCY/14370848 ")</f>
        <v xml:space="preserve">http://slimages.macys.com/is/image/MCY/14370848 </v>
      </c>
    </row>
    <row r="69" spans="1:12" ht="39.950000000000003" customHeight="1" x14ac:dyDescent="0.25">
      <c r="A69" s="6" t="s">
        <v>49</v>
      </c>
      <c r="B69" s="7" t="s">
        <v>50</v>
      </c>
      <c r="C69" s="8">
        <v>1</v>
      </c>
      <c r="D69" s="9">
        <v>18.989999999999998</v>
      </c>
      <c r="E69" s="8" t="s">
        <v>51</v>
      </c>
      <c r="F69" s="7" t="s">
        <v>2475</v>
      </c>
      <c r="G69" s="10"/>
      <c r="H69" s="7" t="s">
        <v>2387</v>
      </c>
      <c r="I69" s="7" t="s">
        <v>2559</v>
      </c>
      <c r="J69" s="7" t="s">
        <v>2363</v>
      </c>
      <c r="K69" s="7" t="s">
        <v>2385</v>
      </c>
      <c r="L69" s="11" t="str">
        <f>HYPERLINK("http://slimages.macys.com/is/image/MCY/3162549 ")</f>
        <v xml:space="preserve">http://slimages.macys.com/is/image/MCY/3162549 </v>
      </c>
    </row>
    <row r="70" spans="1:12" ht="39.950000000000003" customHeight="1" x14ac:dyDescent="0.25">
      <c r="A70" s="6" t="s">
        <v>52</v>
      </c>
      <c r="B70" s="7" t="s">
        <v>53</v>
      </c>
      <c r="C70" s="8">
        <v>1</v>
      </c>
      <c r="D70" s="9">
        <v>18.989999999999998</v>
      </c>
      <c r="E70" s="8" t="s">
        <v>54</v>
      </c>
      <c r="F70" s="7" t="s">
        <v>2355</v>
      </c>
      <c r="G70" s="10"/>
      <c r="H70" s="7" t="s">
        <v>2387</v>
      </c>
      <c r="I70" s="7" t="s">
        <v>2559</v>
      </c>
      <c r="J70" s="7" t="s">
        <v>2363</v>
      </c>
      <c r="K70" s="7" t="s">
        <v>2385</v>
      </c>
      <c r="L70" s="11" t="str">
        <f>HYPERLINK("http://slimages.macys.com/is/image/MCY/3153811 ")</f>
        <v xml:space="preserve">http://slimages.macys.com/is/image/MCY/3153811 </v>
      </c>
    </row>
    <row r="71" spans="1:12" ht="39.950000000000003" customHeight="1" x14ac:dyDescent="0.25">
      <c r="A71" s="6" t="s">
        <v>55</v>
      </c>
      <c r="B71" s="7" t="s">
        <v>56</v>
      </c>
      <c r="C71" s="8">
        <v>2</v>
      </c>
      <c r="D71" s="9">
        <v>59.98</v>
      </c>
      <c r="E71" s="8" t="s">
        <v>57</v>
      </c>
      <c r="F71" s="7" t="s">
        <v>2355</v>
      </c>
      <c r="G71" s="10" t="s">
        <v>2646</v>
      </c>
      <c r="H71" s="7" t="s">
        <v>2413</v>
      </c>
      <c r="I71" s="7" t="s">
        <v>2499</v>
      </c>
      <c r="J71" s="7" t="s">
        <v>2452</v>
      </c>
      <c r="K71" s="7"/>
      <c r="L71" s="11" t="str">
        <f>HYPERLINK("http://slimages.macys.com/is/image/MCY/12384987 ")</f>
        <v xml:space="preserve">http://slimages.macys.com/is/image/MCY/12384987 </v>
      </c>
    </row>
    <row r="72" spans="1:12" ht="39.950000000000003" customHeight="1" x14ac:dyDescent="0.25">
      <c r="A72" s="6" t="s">
        <v>3313</v>
      </c>
      <c r="B72" s="7" t="s">
        <v>3314</v>
      </c>
      <c r="C72" s="8">
        <v>1</v>
      </c>
      <c r="D72" s="9">
        <v>19.989999999999998</v>
      </c>
      <c r="E72" s="8" t="s">
        <v>3315</v>
      </c>
      <c r="F72" s="7" t="s">
        <v>2567</v>
      </c>
      <c r="G72" s="10"/>
      <c r="H72" s="7" t="s">
        <v>2532</v>
      </c>
      <c r="I72" s="7" t="s">
        <v>2409</v>
      </c>
      <c r="J72" s="7" t="s">
        <v>2363</v>
      </c>
      <c r="K72" s="7" t="s">
        <v>2421</v>
      </c>
      <c r="L72" s="11" t="str">
        <f>HYPERLINK("http://slimages.macys.com/is/image/MCY/16685243 ")</f>
        <v xml:space="preserve">http://slimages.macys.com/is/image/MCY/16685243 </v>
      </c>
    </row>
    <row r="73" spans="1:12" ht="39.950000000000003" customHeight="1" x14ac:dyDescent="0.25">
      <c r="A73" s="6" t="s">
        <v>58</v>
      </c>
      <c r="B73" s="7" t="s">
        <v>59</v>
      </c>
      <c r="C73" s="8">
        <v>1</v>
      </c>
      <c r="D73" s="9">
        <v>16.989999999999998</v>
      </c>
      <c r="E73" s="8">
        <v>1010837900</v>
      </c>
      <c r="F73" s="7" t="s">
        <v>2368</v>
      </c>
      <c r="G73" s="10" t="s">
        <v>2441</v>
      </c>
      <c r="H73" s="7" t="s">
        <v>2442</v>
      </c>
      <c r="I73" s="7" t="s">
        <v>2443</v>
      </c>
      <c r="J73" s="7"/>
      <c r="K73" s="7"/>
      <c r="L73" s="11" t="str">
        <f>HYPERLINK("http://slimages.macys.com/is/image/MCY/17745837 ")</f>
        <v xml:space="preserve">http://slimages.macys.com/is/image/MCY/17745837 </v>
      </c>
    </row>
    <row r="74" spans="1:12" ht="39.950000000000003" customHeight="1" x14ac:dyDescent="0.25">
      <c r="A74" s="6" t="s">
        <v>60</v>
      </c>
      <c r="B74" s="7" t="s">
        <v>61</v>
      </c>
      <c r="C74" s="8">
        <v>1</v>
      </c>
      <c r="D74" s="9">
        <v>11.99</v>
      </c>
      <c r="E74" s="8">
        <v>25767</v>
      </c>
      <c r="F74" s="7" t="s">
        <v>2417</v>
      </c>
      <c r="G74" s="10"/>
      <c r="H74" s="7" t="s">
        <v>2391</v>
      </c>
      <c r="I74" s="7" t="s">
        <v>2456</v>
      </c>
      <c r="J74" s="7" t="s">
        <v>2363</v>
      </c>
      <c r="K74" s="7"/>
      <c r="L74" s="11" t="str">
        <f>HYPERLINK("http://slimages.macys.com/is/image/MCY/9616441 ")</f>
        <v xml:space="preserve">http://slimages.macys.com/is/image/MCY/9616441 </v>
      </c>
    </row>
    <row r="75" spans="1:12" ht="39.950000000000003" customHeight="1" x14ac:dyDescent="0.25">
      <c r="A75" s="6" t="s">
        <v>2810</v>
      </c>
      <c r="B75" s="7" t="s">
        <v>2811</v>
      </c>
      <c r="C75" s="8">
        <v>1</v>
      </c>
      <c r="D75" s="9">
        <v>15.99</v>
      </c>
      <c r="E75" s="8" t="s">
        <v>2812</v>
      </c>
      <c r="F75" s="7" t="s">
        <v>2355</v>
      </c>
      <c r="G75" s="10" t="s">
        <v>2469</v>
      </c>
      <c r="H75" s="7" t="s">
        <v>2407</v>
      </c>
      <c r="I75" s="7" t="s">
        <v>2678</v>
      </c>
      <c r="J75" s="7" t="s">
        <v>2795</v>
      </c>
      <c r="K75" s="7" t="s">
        <v>2813</v>
      </c>
      <c r="L75" s="11" t="str">
        <f>HYPERLINK("http://slimages.macys.com/is/image/MCY/16541166 ")</f>
        <v xml:space="preserve">http://slimages.macys.com/is/image/MCY/16541166 </v>
      </c>
    </row>
    <row r="76" spans="1:12" ht="39.950000000000003" customHeight="1" x14ac:dyDescent="0.25">
      <c r="A76" s="6" t="s">
        <v>62</v>
      </c>
      <c r="B76" s="7" t="s">
        <v>63</v>
      </c>
      <c r="C76" s="8">
        <v>1</v>
      </c>
      <c r="D76" s="9">
        <v>7.99</v>
      </c>
      <c r="E76" s="8" t="s">
        <v>64</v>
      </c>
      <c r="F76" s="7" t="s">
        <v>3214</v>
      </c>
      <c r="G76" s="10" t="s">
        <v>2441</v>
      </c>
      <c r="H76" s="7" t="s">
        <v>2420</v>
      </c>
      <c r="I76" s="7" t="s">
        <v>2433</v>
      </c>
      <c r="J76" s="7"/>
      <c r="K76" s="7"/>
      <c r="L76" s="11" t="str">
        <f>HYPERLINK("http://slimages.macys.com/is/image/MCY/17492917 ")</f>
        <v xml:space="preserve">http://slimages.macys.com/is/image/MCY/17492917 </v>
      </c>
    </row>
    <row r="77" spans="1:12" ht="39.950000000000003" customHeight="1" x14ac:dyDescent="0.25">
      <c r="A77" s="6" t="s">
        <v>65</v>
      </c>
      <c r="B77" s="7" t="s">
        <v>66</v>
      </c>
      <c r="C77" s="8">
        <v>1</v>
      </c>
      <c r="D77" s="9">
        <v>9.99</v>
      </c>
      <c r="E77" s="8" t="s">
        <v>67</v>
      </c>
      <c r="F77" s="7" t="s">
        <v>2477</v>
      </c>
      <c r="G77" s="10" t="s">
        <v>2441</v>
      </c>
      <c r="H77" s="7" t="s">
        <v>2442</v>
      </c>
      <c r="I77" s="7" t="s">
        <v>2614</v>
      </c>
      <c r="J77" s="7" t="s">
        <v>2363</v>
      </c>
      <c r="K77" s="7" t="s">
        <v>2421</v>
      </c>
      <c r="L77" s="11" t="str">
        <f>HYPERLINK("http://slimages.macys.com/is/image/MCY/12723168 ")</f>
        <v xml:space="preserve">http://slimages.macys.com/is/image/MCY/12723168 </v>
      </c>
    </row>
    <row r="78" spans="1:12" ht="39.950000000000003" customHeight="1" x14ac:dyDescent="0.25">
      <c r="A78" s="6" t="s">
        <v>68</v>
      </c>
      <c r="B78" s="7" t="s">
        <v>69</v>
      </c>
      <c r="C78" s="8">
        <v>2</v>
      </c>
      <c r="D78" s="9">
        <v>19.98</v>
      </c>
      <c r="E78" s="8" t="s">
        <v>70</v>
      </c>
      <c r="F78" s="7" t="s">
        <v>2534</v>
      </c>
      <c r="G78" s="10" t="s">
        <v>2441</v>
      </c>
      <c r="H78" s="7" t="s">
        <v>2442</v>
      </c>
      <c r="I78" s="7" t="s">
        <v>2614</v>
      </c>
      <c r="J78" s="7" t="s">
        <v>2363</v>
      </c>
      <c r="K78" s="7" t="s">
        <v>2421</v>
      </c>
      <c r="L78" s="11" t="str">
        <f>HYPERLINK("http://slimages.macys.com/is/image/MCY/12723168 ")</f>
        <v xml:space="preserve">http://slimages.macys.com/is/image/MCY/12723168 </v>
      </c>
    </row>
    <row r="79" spans="1:12" ht="39.950000000000003" customHeight="1" x14ac:dyDescent="0.25">
      <c r="A79" s="6" t="s">
        <v>1879</v>
      </c>
      <c r="B79" s="7" t="s">
        <v>1880</v>
      </c>
      <c r="C79" s="8">
        <v>2</v>
      </c>
      <c r="D79" s="9">
        <v>19.98</v>
      </c>
      <c r="E79" s="8" t="s">
        <v>1881</v>
      </c>
      <c r="F79" s="7" t="s">
        <v>2495</v>
      </c>
      <c r="G79" s="10"/>
      <c r="H79" s="7" t="s">
        <v>2391</v>
      </c>
      <c r="I79" s="7" t="s">
        <v>2653</v>
      </c>
      <c r="J79" s="7"/>
      <c r="K79" s="7"/>
      <c r="L79" s="11" t="str">
        <f>HYPERLINK("http://slimages.macys.com/is/image/MCY/17995889 ")</f>
        <v xml:space="preserve">http://slimages.macys.com/is/image/MCY/17995889 </v>
      </c>
    </row>
    <row r="80" spans="1:12" ht="39.950000000000003" customHeight="1" x14ac:dyDescent="0.25">
      <c r="A80" s="6" t="s">
        <v>2780</v>
      </c>
      <c r="B80" s="7" t="s">
        <v>2781</v>
      </c>
      <c r="C80" s="8">
        <v>1</v>
      </c>
      <c r="D80" s="9">
        <v>9.99</v>
      </c>
      <c r="E80" s="8" t="s">
        <v>2723</v>
      </c>
      <c r="F80" s="7" t="s">
        <v>2386</v>
      </c>
      <c r="G80" s="10" t="s">
        <v>2616</v>
      </c>
      <c r="H80" s="7" t="s">
        <v>2442</v>
      </c>
      <c r="I80" s="7" t="s">
        <v>2411</v>
      </c>
      <c r="J80" s="7" t="s">
        <v>2363</v>
      </c>
      <c r="K80" s="7"/>
      <c r="L80" s="11" t="str">
        <f>HYPERLINK("http://slimages.macys.com/is/image/MCY/12067377 ")</f>
        <v xml:space="preserve">http://slimages.macys.com/is/image/MCY/12067377 </v>
      </c>
    </row>
    <row r="81" spans="1:12" ht="39.950000000000003" customHeight="1" x14ac:dyDescent="0.25">
      <c r="A81" s="6" t="s">
        <v>71</v>
      </c>
      <c r="B81" s="7" t="s">
        <v>72</v>
      </c>
      <c r="C81" s="8">
        <v>1</v>
      </c>
      <c r="D81" s="9">
        <v>149.99</v>
      </c>
      <c r="E81" s="8" t="s">
        <v>73</v>
      </c>
      <c r="F81" s="7" t="s">
        <v>2573</v>
      </c>
      <c r="G81" s="10"/>
      <c r="H81" s="7" t="s">
        <v>2391</v>
      </c>
      <c r="I81" s="7" t="s">
        <v>2570</v>
      </c>
      <c r="J81" s="7"/>
      <c r="K81" s="7"/>
      <c r="L81" s="11"/>
    </row>
    <row r="82" spans="1:12" ht="39.950000000000003" customHeight="1" x14ac:dyDescent="0.25">
      <c r="A82" s="6" t="s">
        <v>74</v>
      </c>
      <c r="B82" s="7" t="s">
        <v>75</v>
      </c>
      <c r="C82" s="8">
        <v>1</v>
      </c>
      <c r="D82" s="9">
        <v>89.99</v>
      </c>
      <c r="E82" s="8" t="s">
        <v>76</v>
      </c>
      <c r="F82" s="7" t="s">
        <v>2558</v>
      </c>
      <c r="G82" s="10"/>
      <c r="H82" s="7" t="s">
        <v>2422</v>
      </c>
      <c r="I82" s="7" t="s">
        <v>2705</v>
      </c>
      <c r="J82" s="7"/>
      <c r="K82" s="7"/>
      <c r="L82" s="11"/>
    </row>
    <row r="83" spans="1:12" ht="39.950000000000003" customHeight="1" x14ac:dyDescent="0.25">
      <c r="A83" s="6" t="s">
        <v>77</v>
      </c>
      <c r="B83" s="7" t="s">
        <v>78</v>
      </c>
      <c r="C83" s="8">
        <v>1</v>
      </c>
      <c r="D83" s="9">
        <v>99.99</v>
      </c>
      <c r="E83" s="8" t="s">
        <v>79</v>
      </c>
      <c r="F83" s="7" t="s">
        <v>2355</v>
      </c>
      <c r="G83" s="10"/>
      <c r="H83" s="7" t="s">
        <v>2369</v>
      </c>
      <c r="I83" s="7" t="s">
        <v>1760</v>
      </c>
      <c r="J83" s="7"/>
      <c r="K83" s="7"/>
      <c r="L83" s="11"/>
    </row>
    <row r="84" spans="1:12" ht="39.950000000000003" customHeight="1" x14ac:dyDescent="0.25">
      <c r="A84" s="6" t="s">
        <v>2466</v>
      </c>
      <c r="B84" s="7" t="s">
        <v>2467</v>
      </c>
      <c r="C84" s="8">
        <v>8</v>
      </c>
      <c r="D84" s="9">
        <v>320</v>
      </c>
      <c r="E84" s="8"/>
      <c r="F84" s="7" t="s">
        <v>2468</v>
      </c>
      <c r="G84" s="10" t="s">
        <v>2469</v>
      </c>
      <c r="H84" s="7" t="s">
        <v>2470</v>
      </c>
      <c r="I84" s="7" t="s">
        <v>2471</v>
      </c>
      <c r="J84" s="7"/>
      <c r="K84" s="7"/>
      <c r="L84" s="11"/>
    </row>
    <row r="85" spans="1:12" ht="39.950000000000003" customHeight="1" x14ac:dyDescent="0.25">
      <c r="A85" s="6" t="s">
        <v>80</v>
      </c>
      <c r="B85" s="7" t="s">
        <v>81</v>
      </c>
      <c r="C85" s="8">
        <v>1</v>
      </c>
      <c r="D85" s="9">
        <v>28.99</v>
      </c>
      <c r="E85" s="8" t="s">
        <v>82</v>
      </c>
      <c r="F85" s="7" t="s">
        <v>2368</v>
      </c>
      <c r="G85" s="10"/>
      <c r="H85" s="7" t="s">
        <v>2420</v>
      </c>
      <c r="I85" s="7" t="s">
        <v>83</v>
      </c>
      <c r="J85" s="7"/>
      <c r="K85" s="7"/>
      <c r="L85" s="11"/>
    </row>
  </sheetData>
  <phoneticPr fontId="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57"/>
  <sheetViews>
    <sheetView workbookViewId="0">
      <selection activeCell="B44" sqref="B44"/>
    </sheetView>
  </sheetViews>
  <sheetFormatPr defaultRowHeight="39.950000000000003" customHeight="1" x14ac:dyDescent="0.25"/>
  <cols>
    <col min="1" max="1" width="14.28515625" customWidth="1"/>
    <col min="2" max="2" width="57.140625" customWidth="1"/>
    <col min="3" max="3" width="15" customWidth="1"/>
    <col min="4" max="4" width="10.28515625" customWidth="1"/>
    <col min="5" max="5" width="13.7109375" customWidth="1"/>
    <col min="6" max="7" width="11.4257812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2350</v>
      </c>
      <c r="I1" s="5" t="s">
        <v>2351</v>
      </c>
      <c r="J1" s="5" t="s">
        <v>2352</v>
      </c>
      <c r="K1" s="5" t="s">
        <v>2353</v>
      </c>
      <c r="L1" s="5" t="s">
        <v>2354</v>
      </c>
    </row>
    <row r="2" spans="1:12" ht="39.950000000000003" customHeight="1" x14ac:dyDescent="0.25">
      <c r="A2" s="6" t="s">
        <v>84</v>
      </c>
      <c r="B2" s="7" t="s">
        <v>2618</v>
      </c>
      <c r="C2" s="8">
        <v>1</v>
      </c>
      <c r="D2" s="9">
        <v>299.99</v>
      </c>
      <c r="E2" s="8" t="s">
        <v>85</v>
      </c>
      <c r="F2" s="7" t="s">
        <v>2355</v>
      </c>
      <c r="G2" s="10" t="s">
        <v>2356</v>
      </c>
      <c r="H2" s="7" t="s">
        <v>2357</v>
      </c>
      <c r="I2" s="7" t="s">
        <v>2378</v>
      </c>
      <c r="J2" s="7" t="s">
        <v>2363</v>
      </c>
      <c r="K2" s="7" t="s">
        <v>2650</v>
      </c>
      <c r="L2" s="11" t="str">
        <f>HYPERLINK("http://slimages.macys.com/is/image/MCY/11953123 ")</f>
        <v xml:space="preserve">http://slimages.macys.com/is/image/MCY/11953123 </v>
      </c>
    </row>
    <row r="3" spans="1:12" ht="39.950000000000003" customHeight="1" x14ac:dyDescent="0.25">
      <c r="A3" s="6" t="s">
        <v>86</v>
      </c>
      <c r="B3" s="7" t="s">
        <v>87</v>
      </c>
      <c r="C3" s="8">
        <v>1</v>
      </c>
      <c r="D3" s="9">
        <v>149.99</v>
      </c>
      <c r="E3" s="8" t="s">
        <v>88</v>
      </c>
      <c r="F3" s="7" t="s">
        <v>2368</v>
      </c>
      <c r="G3" s="10"/>
      <c r="H3" s="7" t="s">
        <v>2369</v>
      </c>
      <c r="I3" s="7" t="s">
        <v>2409</v>
      </c>
      <c r="J3" s="7" t="s">
        <v>2363</v>
      </c>
      <c r="K3" s="7" t="s">
        <v>89</v>
      </c>
      <c r="L3" s="11" t="str">
        <f>HYPERLINK("http://slimages.macys.com/is/image/MCY/9627930 ")</f>
        <v xml:space="preserve">http://slimages.macys.com/is/image/MCY/9627930 </v>
      </c>
    </row>
    <row r="4" spans="1:12" ht="39.950000000000003" customHeight="1" x14ac:dyDescent="0.25">
      <c r="A4" s="6" t="s">
        <v>90</v>
      </c>
      <c r="B4" s="7" t="s">
        <v>91</v>
      </c>
      <c r="C4" s="8">
        <v>1</v>
      </c>
      <c r="D4" s="9">
        <v>199.99</v>
      </c>
      <c r="E4" s="8" t="s">
        <v>92</v>
      </c>
      <c r="F4" s="7" t="s">
        <v>2381</v>
      </c>
      <c r="G4" s="10"/>
      <c r="H4" s="7" t="s">
        <v>2357</v>
      </c>
      <c r="I4" s="7" t="s">
        <v>2380</v>
      </c>
      <c r="J4" s="7" t="s">
        <v>2363</v>
      </c>
      <c r="K4" s="7" t="s">
        <v>93</v>
      </c>
      <c r="L4" s="11" t="str">
        <f>HYPERLINK("http://slimages.macys.com/is/image/MCY/12354497 ")</f>
        <v xml:space="preserve">http://slimages.macys.com/is/image/MCY/12354497 </v>
      </c>
    </row>
    <row r="5" spans="1:12" ht="39.950000000000003" customHeight="1" x14ac:dyDescent="0.25">
      <c r="A5" s="6" t="s">
        <v>94</v>
      </c>
      <c r="B5" s="7" t="s">
        <v>95</v>
      </c>
      <c r="C5" s="8">
        <v>1</v>
      </c>
      <c r="D5" s="9">
        <v>169.99</v>
      </c>
      <c r="E5" s="8" t="s">
        <v>96</v>
      </c>
      <c r="F5" s="7" t="s">
        <v>2495</v>
      </c>
      <c r="G5" s="10"/>
      <c r="H5" s="7" t="s">
        <v>2375</v>
      </c>
      <c r="I5" s="7" t="s">
        <v>2376</v>
      </c>
      <c r="J5" s="7" t="s">
        <v>2363</v>
      </c>
      <c r="K5" s="7"/>
      <c r="L5" s="11" t="str">
        <f>HYPERLINK("http://slimages.macys.com/is/image/MCY/11783064 ")</f>
        <v xml:space="preserve">http://slimages.macys.com/is/image/MCY/11783064 </v>
      </c>
    </row>
    <row r="6" spans="1:12" ht="39.950000000000003" customHeight="1" x14ac:dyDescent="0.25">
      <c r="A6" s="6" t="s">
        <v>97</v>
      </c>
      <c r="B6" s="7" t="s">
        <v>98</v>
      </c>
      <c r="C6" s="8">
        <v>1</v>
      </c>
      <c r="D6" s="9">
        <v>123</v>
      </c>
      <c r="E6" s="8" t="s">
        <v>99</v>
      </c>
      <c r="F6" s="7" t="s">
        <v>2355</v>
      </c>
      <c r="G6" s="10"/>
      <c r="H6" s="7" t="s">
        <v>2420</v>
      </c>
      <c r="I6" s="7" t="s">
        <v>2724</v>
      </c>
      <c r="J6" s="7" t="s">
        <v>2880</v>
      </c>
      <c r="K6" s="7" t="s">
        <v>2389</v>
      </c>
      <c r="L6" s="11" t="str">
        <f>HYPERLINK("http://images.bloomingdales.com/is/image/BLM/10052830 ")</f>
        <v xml:space="preserve">http://images.bloomingdales.com/is/image/BLM/10052830 </v>
      </c>
    </row>
    <row r="7" spans="1:12" ht="39.950000000000003" customHeight="1" x14ac:dyDescent="0.25">
      <c r="A7" s="6" t="s">
        <v>100</v>
      </c>
      <c r="B7" s="7" t="s">
        <v>101</v>
      </c>
      <c r="C7" s="8">
        <v>1</v>
      </c>
      <c r="D7" s="9">
        <v>79.989999999999995</v>
      </c>
      <c r="E7" s="8" t="s">
        <v>102</v>
      </c>
      <c r="F7" s="7" t="s">
        <v>2477</v>
      </c>
      <c r="G7" s="10"/>
      <c r="H7" s="7" t="s">
        <v>2432</v>
      </c>
      <c r="I7" s="7" t="s">
        <v>2619</v>
      </c>
      <c r="J7" s="7" t="s">
        <v>2363</v>
      </c>
      <c r="K7" s="7" t="s">
        <v>103</v>
      </c>
      <c r="L7" s="11" t="str">
        <f>HYPERLINK("http://slimages.macys.com/is/image/MCY/15729800 ")</f>
        <v xml:space="preserve">http://slimages.macys.com/is/image/MCY/15729800 </v>
      </c>
    </row>
    <row r="8" spans="1:12" ht="39.950000000000003" customHeight="1" x14ac:dyDescent="0.25">
      <c r="A8" s="6" t="s">
        <v>2940</v>
      </c>
      <c r="B8" s="7" t="s">
        <v>2941</v>
      </c>
      <c r="C8" s="8">
        <v>1</v>
      </c>
      <c r="D8" s="9">
        <v>179.99</v>
      </c>
      <c r="E8" s="8" t="s">
        <v>2942</v>
      </c>
      <c r="F8" s="7" t="s">
        <v>2362</v>
      </c>
      <c r="G8" s="10"/>
      <c r="H8" s="7" t="s">
        <v>2357</v>
      </c>
      <c r="I8" s="7" t="s">
        <v>2476</v>
      </c>
      <c r="J8" s="7"/>
      <c r="K8" s="7"/>
      <c r="L8" s="11" t="str">
        <f>HYPERLINK("http://slimages.macys.com/is/image/MCY/17106624 ")</f>
        <v xml:space="preserve">http://slimages.macys.com/is/image/MCY/17106624 </v>
      </c>
    </row>
    <row r="9" spans="1:12" ht="39.950000000000003" customHeight="1" x14ac:dyDescent="0.25">
      <c r="A9" s="6" t="s">
        <v>3000</v>
      </c>
      <c r="B9" s="7" t="s">
        <v>3001</v>
      </c>
      <c r="C9" s="8">
        <v>1</v>
      </c>
      <c r="D9" s="9">
        <v>99.99</v>
      </c>
      <c r="E9" s="8" t="s">
        <v>3002</v>
      </c>
      <c r="F9" s="7" t="s">
        <v>2368</v>
      </c>
      <c r="G9" s="10"/>
      <c r="H9" s="7" t="s">
        <v>2486</v>
      </c>
      <c r="I9" s="7" t="s">
        <v>2585</v>
      </c>
      <c r="J9" s="7" t="s">
        <v>2363</v>
      </c>
      <c r="K9" s="7" t="s">
        <v>3003</v>
      </c>
      <c r="L9" s="11" t="str">
        <f>HYPERLINK("http://slimages.macys.com/is/image/MCY/14453968 ")</f>
        <v xml:space="preserve">http://slimages.macys.com/is/image/MCY/14453968 </v>
      </c>
    </row>
    <row r="10" spans="1:12" ht="39.950000000000003" customHeight="1" x14ac:dyDescent="0.25">
      <c r="A10" s="6" t="s">
        <v>2976</v>
      </c>
      <c r="B10" s="7" t="s">
        <v>2977</v>
      </c>
      <c r="C10" s="8">
        <v>1</v>
      </c>
      <c r="D10" s="9">
        <v>99.99</v>
      </c>
      <c r="E10" s="8" t="s">
        <v>2978</v>
      </c>
      <c r="F10" s="7" t="s">
        <v>2623</v>
      </c>
      <c r="G10" s="10"/>
      <c r="H10" s="7" t="s">
        <v>2400</v>
      </c>
      <c r="I10" s="7" t="s">
        <v>2401</v>
      </c>
      <c r="J10" s="7" t="s">
        <v>2363</v>
      </c>
      <c r="K10" s="7" t="s">
        <v>2731</v>
      </c>
      <c r="L10" s="11" t="str">
        <f>HYPERLINK("http://slimages.macys.com/is/image/MCY/3467222 ")</f>
        <v xml:space="preserve">http://slimages.macys.com/is/image/MCY/3467222 </v>
      </c>
    </row>
    <row r="11" spans="1:12" ht="39.950000000000003" customHeight="1" x14ac:dyDescent="0.25">
      <c r="A11" s="6" t="s">
        <v>104</v>
      </c>
      <c r="B11" s="7" t="s">
        <v>105</v>
      </c>
      <c r="C11" s="8">
        <v>1</v>
      </c>
      <c r="D11" s="9">
        <v>119.99</v>
      </c>
      <c r="E11" s="8" t="s">
        <v>106</v>
      </c>
      <c r="F11" s="7" t="s">
        <v>2368</v>
      </c>
      <c r="G11" s="10"/>
      <c r="H11" s="7" t="s">
        <v>2400</v>
      </c>
      <c r="I11" s="7" t="s">
        <v>2411</v>
      </c>
      <c r="J11" s="7"/>
      <c r="K11" s="7"/>
      <c r="L11" s="11" t="str">
        <f>HYPERLINK("http://slimages.macys.com/is/image/MCY/18266992 ")</f>
        <v xml:space="preserve">http://slimages.macys.com/is/image/MCY/18266992 </v>
      </c>
    </row>
    <row r="12" spans="1:12" ht="39.950000000000003" customHeight="1" x14ac:dyDescent="0.25">
      <c r="A12" s="6" t="s">
        <v>107</v>
      </c>
      <c r="B12" s="7" t="s">
        <v>108</v>
      </c>
      <c r="C12" s="8">
        <v>1</v>
      </c>
      <c r="D12" s="9">
        <v>80.989999999999995</v>
      </c>
      <c r="E12" s="8" t="s">
        <v>109</v>
      </c>
      <c r="F12" s="7" t="s">
        <v>2355</v>
      </c>
      <c r="G12" s="10" t="s">
        <v>2646</v>
      </c>
      <c r="H12" s="7" t="s">
        <v>2407</v>
      </c>
      <c r="I12" s="7" t="s">
        <v>2572</v>
      </c>
      <c r="J12" s="7" t="s">
        <v>2363</v>
      </c>
      <c r="K12" s="7" t="s">
        <v>110</v>
      </c>
      <c r="L12" s="11" t="str">
        <f>HYPERLINK("http://slimages.macys.com/is/image/MCY/14329867 ")</f>
        <v xml:space="preserve">http://slimages.macys.com/is/image/MCY/14329867 </v>
      </c>
    </row>
    <row r="13" spans="1:12" ht="39.950000000000003" customHeight="1" x14ac:dyDescent="0.25">
      <c r="A13" s="6" t="s">
        <v>111</v>
      </c>
      <c r="B13" s="7" t="s">
        <v>112</v>
      </c>
      <c r="C13" s="8">
        <v>1</v>
      </c>
      <c r="D13" s="9">
        <v>79.989999999999995</v>
      </c>
      <c r="E13" s="8">
        <v>1003085000</v>
      </c>
      <c r="F13" s="7" t="s">
        <v>2424</v>
      </c>
      <c r="G13" s="10"/>
      <c r="H13" s="7" t="s">
        <v>2442</v>
      </c>
      <c r="I13" s="7" t="s">
        <v>2443</v>
      </c>
      <c r="J13" s="7" t="s">
        <v>2363</v>
      </c>
      <c r="K13" s="7" t="s">
        <v>2421</v>
      </c>
      <c r="L13" s="11" t="str">
        <f>HYPERLINK("http://slimages.macys.com/is/image/MCY/9971657 ")</f>
        <v xml:space="preserve">http://slimages.macys.com/is/image/MCY/9971657 </v>
      </c>
    </row>
    <row r="14" spans="1:12" ht="39.950000000000003" customHeight="1" x14ac:dyDescent="0.25">
      <c r="A14" s="6" t="s">
        <v>113</v>
      </c>
      <c r="B14" s="7" t="s">
        <v>114</v>
      </c>
      <c r="C14" s="8">
        <v>1</v>
      </c>
      <c r="D14" s="9">
        <v>95.99</v>
      </c>
      <c r="E14" s="8" t="s">
        <v>115</v>
      </c>
      <c r="F14" s="7" t="s">
        <v>2362</v>
      </c>
      <c r="G14" s="10"/>
      <c r="H14" s="7" t="s">
        <v>2391</v>
      </c>
      <c r="I14" s="7" t="s">
        <v>2374</v>
      </c>
      <c r="J14" s="7" t="s">
        <v>2363</v>
      </c>
      <c r="K14" s="7" t="s">
        <v>116</v>
      </c>
      <c r="L14" s="11" t="str">
        <f>HYPERLINK("http://slimages.macys.com/is/image/MCY/11377433 ")</f>
        <v xml:space="preserve">http://slimages.macys.com/is/image/MCY/11377433 </v>
      </c>
    </row>
    <row r="15" spans="1:12" ht="39.950000000000003" customHeight="1" x14ac:dyDescent="0.25">
      <c r="A15" s="6" t="s">
        <v>117</v>
      </c>
      <c r="B15" s="7" t="s">
        <v>118</v>
      </c>
      <c r="C15" s="8">
        <v>1</v>
      </c>
      <c r="D15" s="9">
        <v>94.99</v>
      </c>
      <c r="E15" s="8" t="s">
        <v>119</v>
      </c>
      <c r="F15" s="7" t="s">
        <v>2419</v>
      </c>
      <c r="G15" s="10"/>
      <c r="H15" s="7" t="s">
        <v>2391</v>
      </c>
      <c r="I15" s="7" t="s">
        <v>2437</v>
      </c>
      <c r="J15" s="7" t="s">
        <v>2363</v>
      </c>
      <c r="K15" s="7" t="s">
        <v>2385</v>
      </c>
      <c r="L15" s="11" t="str">
        <f>HYPERLINK("http://slimages.macys.com/is/image/MCY/13814415 ")</f>
        <v xml:space="preserve">http://slimages.macys.com/is/image/MCY/13814415 </v>
      </c>
    </row>
    <row r="16" spans="1:12" ht="39.950000000000003" customHeight="1" x14ac:dyDescent="0.25">
      <c r="A16" s="6" t="s">
        <v>120</v>
      </c>
      <c r="B16" s="7" t="s">
        <v>121</v>
      </c>
      <c r="C16" s="8">
        <v>1</v>
      </c>
      <c r="D16" s="9">
        <v>79.989999999999995</v>
      </c>
      <c r="E16" s="8" t="s">
        <v>122</v>
      </c>
      <c r="F16" s="7" t="s">
        <v>2368</v>
      </c>
      <c r="G16" s="10"/>
      <c r="H16" s="7" t="s">
        <v>2375</v>
      </c>
      <c r="I16" s="7" t="s">
        <v>2376</v>
      </c>
      <c r="J16" s="7"/>
      <c r="K16" s="7"/>
      <c r="L16" s="11" t="str">
        <f>HYPERLINK("http://slimages.macys.com/is/image/MCY/16633333 ")</f>
        <v xml:space="preserve">http://slimages.macys.com/is/image/MCY/16633333 </v>
      </c>
    </row>
    <row r="17" spans="1:12" ht="39.950000000000003" customHeight="1" x14ac:dyDescent="0.25">
      <c r="A17" s="6" t="s">
        <v>2797</v>
      </c>
      <c r="B17" s="7" t="s">
        <v>2798</v>
      </c>
      <c r="C17" s="8">
        <v>1</v>
      </c>
      <c r="D17" s="9">
        <v>59.99</v>
      </c>
      <c r="E17" s="8" t="s">
        <v>2799</v>
      </c>
      <c r="F17" s="7" t="s">
        <v>2475</v>
      </c>
      <c r="G17" s="10"/>
      <c r="H17" s="7" t="s">
        <v>2387</v>
      </c>
      <c r="I17" s="7" t="s">
        <v>2404</v>
      </c>
      <c r="J17" s="7" t="s">
        <v>2363</v>
      </c>
      <c r="K17" s="7" t="s">
        <v>2405</v>
      </c>
      <c r="L17" s="11" t="str">
        <f>HYPERLINK("http://slimages.macys.com/is/image/MCY/13036438 ")</f>
        <v xml:space="preserve">http://slimages.macys.com/is/image/MCY/13036438 </v>
      </c>
    </row>
    <row r="18" spans="1:12" ht="39.950000000000003" customHeight="1" x14ac:dyDescent="0.25">
      <c r="A18" s="6" t="s">
        <v>123</v>
      </c>
      <c r="B18" s="7" t="s">
        <v>124</v>
      </c>
      <c r="C18" s="8">
        <v>1</v>
      </c>
      <c r="D18" s="9">
        <v>59.99</v>
      </c>
      <c r="E18" s="8" t="s">
        <v>125</v>
      </c>
      <c r="F18" s="7" t="s">
        <v>2368</v>
      </c>
      <c r="G18" s="10" t="s">
        <v>2624</v>
      </c>
      <c r="H18" s="7" t="s">
        <v>2420</v>
      </c>
      <c r="I18" s="7" t="s">
        <v>126</v>
      </c>
      <c r="J18" s="7" t="s">
        <v>2363</v>
      </c>
      <c r="K18" s="7" t="s">
        <v>2421</v>
      </c>
      <c r="L18" s="11" t="str">
        <f>HYPERLINK("http://slimages.macys.com/is/image/MCY/13290937 ")</f>
        <v xml:space="preserve">http://slimages.macys.com/is/image/MCY/13290937 </v>
      </c>
    </row>
    <row r="19" spans="1:12" ht="39.950000000000003" customHeight="1" x14ac:dyDescent="0.25">
      <c r="A19" s="6" t="s">
        <v>127</v>
      </c>
      <c r="B19" s="7" t="s">
        <v>128</v>
      </c>
      <c r="C19" s="8">
        <v>1</v>
      </c>
      <c r="D19" s="9">
        <v>54.99</v>
      </c>
      <c r="E19" s="8" t="s">
        <v>129</v>
      </c>
      <c r="F19" s="7" t="s">
        <v>2355</v>
      </c>
      <c r="G19" s="10" t="s">
        <v>2624</v>
      </c>
      <c r="H19" s="7" t="s">
        <v>2420</v>
      </c>
      <c r="I19" s="7" t="s">
        <v>126</v>
      </c>
      <c r="J19" s="7" t="s">
        <v>2363</v>
      </c>
      <c r="K19" s="7" t="s">
        <v>2622</v>
      </c>
      <c r="L19" s="11" t="str">
        <f>HYPERLINK("http://slimages.macys.com/is/image/MCY/13291105 ")</f>
        <v xml:space="preserve">http://slimages.macys.com/is/image/MCY/13291105 </v>
      </c>
    </row>
    <row r="20" spans="1:12" ht="39.950000000000003" customHeight="1" x14ac:dyDescent="0.25">
      <c r="A20" s="6" t="s">
        <v>130</v>
      </c>
      <c r="B20" s="7" t="s">
        <v>131</v>
      </c>
      <c r="C20" s="8">
        <v>1</v>
      </c>
      <c r="D20" s="9">
        <v>250</v>
      </c>
      <c r="E20" s="8" t="s">
        <v>132</v>
      </c>
      <c r="F20" s="7" t="s">
        <v>2355</v>
      </c>
      <c r="G20" s="10" t="s">
        <v>2539</v>
      </c>
      <c r="H20" s="7" t="s">
        <v>2413</v>
      </c>
      <c r="I20" s="7" t="s">
        <v>2736</v>
      </c>
      <c r="J20" s="7" t="s">
        <v>2452</v>
      </c>
      <c r="K20" s="7" t="s">
        <v>133</v>
      </c>
      <c r="L20" s="11" t="str">
        <f>HYPERLINK("http://images.bloomingdales.com/is/image/BLM/11029921 ")</f>
        <v xml:space="preserve">http://images.bloomingdales.com/is/image/BLM/11029921 </v>
      </c>
    </row>
    <row r="21" spans="1:12" ht="39.950000000000003" customHeight="1" x14ac:dyDescent="0.25">
      <c r="A21" s="6" t="s">
        <v>134</v>
      </c>
      <c r="B21" s="7" t="s">
        <v>135</v>
      </c>
      <c r="C21" s="8">
        <v>1</v>
      </c>
      <c r="D21" s="9">
        <v>60.99</v>
      </c>
      <c r="E21" s="8" t="s">
        <v>136</v>
      </c>
      <c r="F21" s="7" t="s">
        <v>2355</v>
      </c>
      <c r="G21" s="10" t="s">
        <v>2541</v>
      </c>
      <c r="H21" s="7" t="s">
        <v>2407</v>
      </c>
      <c r="I21" s="7" t="s">
        <v>2620</v>
      </c>
      <c r="J21" s="7" t="s">
        <v>2460</v>
      </c>
      <c r="K21" s="7" t="s">
        <v>1917</v>
      </c>
      <c r="L21" s="11" t="str">
        <f>HYPERLINK("http://slimages.macys.com/is/image/MCY/11798090 ")</f>
        <v xml:space="preserve">http://slimages.macys.com/is/image/MCY/11798090 </v>
      </c>
    </row>
    <row r="22" spans="1:12" ht="39.950000000000003" customHeight="1" x14ac:dyDescent="0.25">
      <c r="A22" s="6" t="s">
        <v>137</v>
      </c>
      <c r="B22" s="7" t="s">
        <v>138</v>
      </c>
      <c r="C22" s="8">
        <v>2</v>
      </c>
      <c r="D22" s="9">
        <v>139.97999999999999</v>
      </c>
      <c r="E22" s="8" t="s">
        <v>3157</v>
      </c>
      <c r="F22" s="7" t="s">
        <v>2848</v>
      </c>
      <c r="G22" s="10"/>
      <c r="H22" s="7" t="s">
        <v>2535</v>
      </c>
      <c r="I22" s="7" t="s">
        <v>2604</v>
      </c>
      <c r="J22" s="7" t="s">
        <v>2363</v>
      </c>
      <c r="K22" s="7"/>
      <c r="L22" s="11" t="str">
        <f>HYPERLINK("http://slimages.macys.com/is/image/MCY/10249494 ")</f>
        <v xml:space="preserve">http://slimages.macys.com/is/image/MCY/10249494 </v>
      </c>
    </row>
    <row r="23" spans="1:12" ht="39.950000000000003" customHeight="1" x14ac:dyDescent="0.25">
      <c r="A23" s="6" t="s">
        <v>139</v>
      </c>
      <c r="B23" s="7" t="s">
        <v>140</v>
      </c>
      <c r="C23" s="8">
        <v>1</v>
      </c>
      <c r="D23" s="9">
        <v>59.99</v>
      </c>
      <c r="E23" s="8" t="s">
        <v>141</v>
      </c>
      <c r="F23" s="7" t="s">
        <v>2368</v>
      </c>
      <c r="G23" s="10"/>
      <c r="H23" s="7" t="s">
        <v>2369</v>
      </c>
      <c r="I23" s="7" t="s">
        <v>2409</v>
      </c>
      <c r="J23" s="7" t="s">
        <v>2363</v>
      </c>
      <c r="K23" s="7" t="s">
        <v>142</v>
      </c>
      <c r="L23" s="11" t="str">
        <f>HYPERLINK("http://slimages.macys.com/is/image/MCY/9492570 ")</f>
        <v xml:space="preserve">http://slimages.macys.com/is/image/MCY/9492570 </v>
      </c>
    </row>
    <row r="24" spans="1:12" ht="39.950000000000003" customHeight="1" x14ac:dyDescent="0.25">
      <c r="A24" s="6" t="s">
        <v>143</v>
      </c>
      <c r="B24" s="7" t="s">
        <v>144</v>
      </c>
      <c r="C24" s="8">
        <v>1</v>
      </c>
      <c r="D24" s="9">
        <v>66.989999999999995</v>
      </c>
      <c r="E24" s="8" t="s">
        <v>145</v>
      </c>
      <c r="F24" s="7" t="s">
        <v>2615</v>
      </c>
      <c r="G24" s="10"/>
      <c r="H24" s="7" t="s">
        <v>2391</v>
      </c>
      <c r="I24" s="7" t="s">
        <v>2661</v>
      </c>
      <c r="J24" s="7" t="s">
        <v>2363</v>
      </c>
      <c r="K24" s="7" t="s">
        <v>2385</v>
      </c>
      <c r="L24" s="11" t="str">
        <f>HYPERLINK("http://slimages.macys.com/is/image/MCY/14425176 ")</f>
        <v xml:space="preserve">http://slimages.macys.com/is/image/MCY/14425176 </v>
      </c>
    </row>
    <row r="25" spans="1:12" ht="39.950000000000003" customHeight="1" x14ac:dyDescent="0.25">
      <c r="A25" s="6" t="s">
        <v>146</v>
      </c>
      <c r="B25" s="7" t="s">
        <v>147</v>
      </c>
      <c r="C25" s="8">
        <v>1</v>
      </c>
      <c r="D25" s="9">
        <v>49.99</v>
      </c>
      <c r="E25" s="8">
        <v>21453422</v>
      </c>
      <c r="F25" s="7"/>
      <c r="G25" s="10"/>
      <c r="H25" s="7" t="s">
        <v>2369</v>
      </c>
      <c r="I25" s="7" t="s">
        <v>2370</v>
      </c>
      <c r="J25" s="7" t="s">
        <v>2363</v>
      </c>
      <c r="K25" s="7" t="s">
        <v>2385</v>
      </c>
      <c r="L25" s="11" t="str">
        <f>HYPERLINK("http://slimages.macys.com/is/image/MCY/15345739 ")</f>
        <v xml:space="preserve">http://slimages.macys.com/is/image/MCY/15345739 </v>
      </c>
    </row>
    <row r="26" spans="1:12" ht="39.950000000000003" customHeight="1" x14ac:dyDescent="0.25">
      <c r="A26" s="6" t="s">
        <v>1376</v>
      </c>
      <c r="B26" s="7" t="s">
        <v>1377</v>
      </c>
      <c r="C26" s="8">
        <v>1</v>
      </c>
      <c r="D26" s="9">
        <v>49.99</v>
      </c>
      <c r="E26" s="8" t="s">
        <v>1378</v>
      </c>
      <c r="F26" s="7" t="s">
        <v>2368</v>
      </c>
      <c r="G26" s="10"/>
      <c r="H26" s="7" t="s">
        <v>2369</v>
      </c>
      <c r="I26" s="7" t="s">
        <v>2370</v>
      </c>
      <c r="J26" s="7" t="s">
        <v>2363</v>
      </c>
      <c r="K26" s="7" t="s">
        <v>2385</v>
      </c>
      <c r="L26" s="11" t="str">
        <f>HYPERLINK("http://slimages.macys.com/is/image/MCY/8347198 ")</f>
        <v xml:space="preserve">http://slimages.macys.com/is/image/MCY/8347198 </v>
      </c>
    </row>
    <row r="27" spans="1:12" ht="39.950000000000003" customHeight="1" x14ac:dyDescent="0.25">
      <c r="A27" s="6" t="s">
        <v>2428</v>
      </c>
      <c r="B27" s="7" t="s">
        <v>2429</v>
      </c>
      <c r="C27" s="8">
        <v>1</v>
      </c>
      <c r="D27" s="9">
        <v>49.99</v>
      </c>
      <c r="E27" s="8" t="s">
        <v>2430</v>
      </c>
      <c r="F27" s="7"/>
      <c r="G27" s="10"/>
      <c r="H27" s="7" t="s">
        <v>2369</v>
      </c>
      <c r="I27" s="7" t="s">
        <v>2431</v>
      </c>
      <c r="J27" s="7"/>
      <c r="K27" s="7"/>
      <c r="L27" s="11" t="str">
        <f>HYPERLINK("http://slimages.macys.com/is/image/MCY/16826931 ")</f>
        <v xml:space="preserve">http://slimages.macys.com/is/image/MCY/16826931 </v>
      </c>
    </row>
    <row r="28" spans="1:12" ht="39.950000000000003" customHeight="1" x14ac:dyDescent="0.25">
      <c r="A28" s="6" t="s">
        <v>148</v>
      </c>
      <c r="B28" s="7" t="s">
        <v>149</v>
      </c>
      <c r="C28" s="8">
        <v>1</v>
      </c>
      <c r="D28" s="9">
        <v>52.99</v>
      </c>
      <c r="E28" s="8">
        <v>36113</v>
      </c>
      <c r="F28" s="7" t="s">
        <v>2355</v>
      </c>
      <c r="G28" s="10" t="s">
        <v>2646</v>
      </c>
      <c r="H28" s="7" t="s">
        <v>2407</v>
      </c>
      <c r="I28" s="7" t="s">
        <v>2542</v>
      </c>
      <c r="J28" s="7" t="s">
        <v>2452</v>
      </c>
      <c r="K28" s="7" t="s">
        <v>2385</v>
      </c>
      <c r="L28" s="11" t="str">
        <f>HYPERLINK("http://slimages.macys.com/is/image/MCY/16456689 ")</f>
        <v xml:space="preserve">http://slimages.macys.com/is/image/MCY/16456689 </v>
      </c>
    </row>
    <row r="29" spans="1:12" ht="39.950000000000003" customHeight="1" x14ac:dyDescent="0.25">
      <c r="A29" s="6" t="s">
        <v>150</v>
      </c>
      <c r="B29" s="7" t="s">
        <v>151</v>
      </c>
      <c r="C29" s="8">
        <v>1</v>
      </c>
      <c r="D29" s="9">
        <v>29.99</v>
      </c>
      <c r="E29" s="8" t="s">
        <v>2979</v>
      </c>
      <c r="F29" s="7" t="s">
        <v>2477</v>
      </c>
      <c r="G29" s="10" t="s">
        <v>2469</v>
      </c>
      <c r="H29" s="7" t="s">
        <v>2535</v>
      </c>
      <c r="I29" s="7" t="s">
        <v>2536</v>
      </c>
      <c r="J29" s="7" t="s">
        <v>2363</v>
      </c>
      <c r="K29" s="7" t="s">
        <v>2537</v>
      </c>
      <c r="L29" s="11" t="str">
        <f>HYPERLINK("http://slimages.macys.com/is/image/MCY/16276140 ")</f>
        <v xml:space="preserve">http://slimages.macys.com/is/image/MCY/16276140 </v>
      </c>
    </row>
    <row r="30" spans="1:12" ht="39.950000000000003" customHeight="1" x14ac:dyDescent="0.25">
      <c r="A30" s="6" t="s">
        <v>152</v>
      </c>
      <c r="B30" s="7" t="s">
        <v>153</v>
      </c>
      <c r="C30" s="8">
        <v>1</v>
      </c>
      <c r="D30" s="9">
        <v>34.99</v>
      </c>
      <c r="E30" s="8" t="s">
        <v>154</v>
      </c>
      <c r="F30" s="7" t="s">
        <v>2567</v>
      </c>
      <c r="G30" s="10" t="s">
        <v>2450</v>
      </c>
      <c r="H30" s="7" t="s">
        <v>2391</v>
      </c>
      <c r="I30" s="7" t="s">
        <v>2409</v>
      </c>
      <c r="J30" s="7" t="s">
        <v>2363</v>
      </c>
      <c r="K30" s="7" t="s">
        <v>155</v>
      </c>
      <c r="L30" s="11" t="str">
        <f>HYPERLINK("http://slimages.macys.com/is/image/MCY/9979489 ")</f>
        <v xml:space="preserve">http://slimages.macys.com/is/image/MCY/9979489 </v>
      </c>
    </row>
    <row r="31" spans="1:12" ht="39.950000000000003" customHeight="1" x14ac:dyDescent="0.25">
      <c r="A31" s="6" t="s">
        <v>156</v>
      </c>
      <c r="B31" s="7" t="s">
        <v>157</v>
      </c>
      <c r="C31" s="8">
        <v>1</v>
      </c>
      <c r="D31" s="9">
        <v>39.99</v>
      </c>
      <c r="E31" s="8" t="s">
        <v>158</v>
      </c>
      <c r="F31" s="7" t="s">
        <v>2601</v>
      </c>
      <c r="G31" s="10"/>
      <c r="H31" s="7" t="s">
        <v>2532</v>
      </c>
      <c r="I31" s="7" t="s">
        <v>2635</v>
      </c>
      <c r="J31" s="7"/>
      <c r="K31" s="7"/>
      <c r="L31" s="11" t="str">
        <f>HYPERLINK("http://slimages.macys.com/is/image/MCY/17804058 ")</f>
        <v xml:space="preserve">http://slimages.macys.com/is/image/MCY/17804058 </v>
      </c>
    </row>
    <row r="32" spans="1:12" ht="39.950000000000003" customHeight="1" x14ac:dyDescent="0.25">
      <c r="A32" s="6" t="s">
        <v>159</v>
      </c>
      <c r="B32" s="7" t="s">
        <v>160</v>
      </c>
      <c r="C32" s="8">
        <v>1</v>
      </c>
      <c r="D32" s="9">
        <v>39.99</v>
      </c>
      <c r="E32" s="8">
        <v>130109</v>
      </c>
      <c r="F32" s="7" t="s">
        <v>2368</v>
      </c>
      <c r="G32" s="10" t="s">
        <v>2356</v>
      </c>
      <c r="H32" s="7" t="s">
        <v>2447</v>
      </c>
      <c r="I32" s="7" t="s">
        <v>2448</v>
      </c>
      <c r="J32" s="7" t="s">
        <v>2363</v>
      </c>
      <c r="K32" s="7" t="s">
        <v>2663</v>
      </c>
      <c r="L32" s="11" t="str">
        <f>HYPERLINK("http://slimages.macys.com/is/image/MCY/3895749 ")</f>
        <v xml:space="preserve">http://slimages.macys.com/is/image/MCY/3895749 </v>
      </c>
    </row>
    <row r="33" spans="1:12" ht="39.950000000000003" customHeight="1" x14ac:dyDescent="0.25">
      <c r="A33" s="6" t="s">
        <v>2982</v>
      </c>
      <c r="B33" s="7" t="s">
        <v>2983</v>
      </c>
      <c r="C33" s="8">
        <v>1</v>
      </c>
      <c r="D33" s="9">
        <v>79.989999999999995</v>
      </c>
      <c r="E33" s="8" t="s">
        <v>2984</v>
      </c>
      <c r="F33" s="7" t="s">
        <v>2355</v>
      </c>
      <c r="G33" s="10"/>
      <c r="H33" s="7" t="s">
        <v>2413</v>
      </c>
      <c r="I33" s="7" t="s">
        <v>2499</v>
      </c>
      <c r="J33" s="7" t="s">
        <v>2795</v>
      </c>
      <c r="K33" s="7"/>
      <c r="L33" s="11" t="str">
        <f>HYPERLINK("http://slimages.macys.com/is/image/MCY/12779303 ")</f>
        <v xml:space="preserve">http://slimages.macys.com/is/image/MCY/12779303 </v>
      </c>
    </row>
    <row r="34" spans="1:12" ht="39.950000000000003" customHeight="1" x14ac:dyDescent="0.25">
      <c r="A34" s="6" t="s">
        <v>161</v>
      </c>
      <c r="B34" s="7" t="s">
        <v>162</v>
      </c>
      <c r="C34" s="8">
        <v>1</v>
      </c>
      <c r="D34" s="9">
        <v>30.99</v>
      </c>
      <c r="E34" s="8">
        <v>56673</v>
      </c>
      <c r="F34" s="7" t="s">
        <v>2368</v>
      </c>
      <c r="G34" s="10"/>
      <c r="H34" s="7" t="s">
        <v>2391</v>
      </c>
      <c r="I34" s="7" t="s">
        <v>2456</v>
      </c>
      <c r="J34" s="7" t="s">
        <v>2363</v>
      </c>
      <c r="K34" s="7" t="s">
        <v>2385</v>
      </c>
      <c r="L34" s="11" t="str">
        <f>HYPERLINK("http://slimages.macys.com/is/image/MCY/16061021 ")</f>
        <v xml:space="preserve">http://slimages.macys.com/is/image/MCY/16061021 </v>
      </c>
    </row>
    <row r="35" spans="1:12" ht="39.950000000000003" customHeight="1" x14ac:dyDescent="0.25">
      <c r="A35" s="6" t="s">
        <v>163</v>
      </c>
      <c r="B35" s="7" t="s">
        <v>1845</v>
      </c>
      <c r="C35" s="8">
        <v>1</v>
      </c>
      <c r="D35" s="9">
        <v>41.99</v>
      </c>
      <c r="E35" s="8" t="s">
        <v>2990</v>
      </c>
      <c r="F35" s="7" t="s">
        <v>2475</v>
      </c>
      <c r="G35" s="10"/>
      <c r="H35" s="7" t="s">
        <v>2545</v>
      </c>
      <c r="I35" s="7" t="s">
        <v>2546</v>
      </c>
      <c r="J35" s="7"/>
      <c r="K35" s="7" t="s">
        <v>1509</v>
      </c>
      <c r="L35" s="11" t="str">
        <f>HYPERLINK("http://slimages.macys.com/is/image/MCY/9489266 ")</f>
        <v xml:space="preserve">http://slimages.macys.com/is/image/MCY/9489266 </v>
      </c>
    </row>
    <row r="36" spans="1:12" ht="39.950000000000003" customHeight="1" x14ac:dyDescent="0.25">
      <c r="A36" s="6" t="s">
        <v>3059</v>
      </c>
      <c r="B36" s="7" t="s">
        <v>3060</v>
      </c>
      <c r="C36" s="8">
        <v>1</v>
      </c>
      <c r="D36" s="9">
        <v>39.99</v>
      </c>
      <c r="E36" s="8">
        <v>130356</v>
      </c>
      <c r="F36" s="7" t="s">
        <v>2615</v>
      </c>
      <c r="G36" s="10"/>
      <c r="H36" s="7" t="s">
        <v>2447</v>
      </c>
      <c r="I36" s="7" t="s">
        <v>2448</v>
      </c>
      <c r="J36" s="7" t="s">
        <v>2363</v>
      </c>
      <c r="K36" s="7" t="s">
        <v>2663</v>
      </c>
      <c r="L36" s="11" t="str">
        <f>HYPERLINK("http://slimages.macys.com/is/image/MCY/3895749 ")</f>
        <v xml:space="preserve">http://slimages.macys.com/is/image/MCY/3895749 </v>
      </c>
    </row>
    <row r="37" spans="1:12" ht="39.950000000000003" customHeight="1" x14ac:dyDescent="0.25">
      <c r="A37" s="6" t="s">
        <v>164</v>
      </c>
      <c r="B37" s="7" t="s">
        <v>165</v>
      </c>
      <c r="C37" s="8">
        <v>1</v>
      </c>
      <c r="D37" s="9">
        <v>29.99</v>
      </c>
      <c r="E37" s="8">
        <v>1011065100</v>
      </c>
      <c r="F37" s="7" t="s">
        <v>2355</v>
      </c>
      <c r="G37" s="10"/>
      <c r="H37" s="7" t="s">
        <v>2442</v>
      </c>
      <c r="I37" s="7" t="s">
        <v>2604</v>
      </c>
      <c r="J37" s="7"/>
      <c r="K37" s="7"/>
      <c r="L37" s="11" t="str">
        <f>HYPERLINK("http://slimages.macys.com/is/image/MCY/17798892 ")</f>
        <v xml:space="preserve">http://slimages.macys.com/is/image/MCY/17798892 </v>
      </c>
    </row>
    <row r="38" spans="1:12" ht="39.950000000000003" customHeight="1" x14ac:dyDescent="0.25">
      <c r="A38" s="6" t="s">
        <v>166</v>
      </c>
      <c r="B38" s="7" t="s">
        <v>167</v>
      </c>
      <c r="C38" s="8">
        <v>2</v>
      </c>
      <c r="D38" s="9">
        <v>79.98</v>
      </c>
      <c r="E38" s="8" t="s">
        <v>168</v>
      </c>
      <c r="F38" s="7" t="s">
        <v>2403</v>
      </c>
      <c r="G38" s="10" t="s">
        <v>2450</v>
      </c>
      <c r="H38" s="7" t="s">
        <v>2391</v>
      </c>
      <c r="I38" s="7" t="s">
        <v>2451</v>
      </c>
      <c r="J38" s="7" t="s">
        <v>2452</v>
      </c>
      <c r="K38" s="7" t="s">
        <v>2389</v>
      </c>
      <c r="L38" s="11" t="str">
        <f>HYPERLINK("http://slimages.macys.com/is/image/MCY/16368390 ")</f>
        <v xml:space="preserve">http://slimages.macys.com/is/image/MCY/16368390 </v>
      </c>
    </row>
    <row r="39" spans="1:12" ht="39.950000000000003" customHeight="1" x14ac:dyDescent="0.25">
      <c r="A39" s="6" t="s">
        <v>3013</v>
      </c>
      <c r="B39" s="7" t="s">
        <v>3014</v>
      </c>
      <c r="C39" s="8">
        <v>1</v>
      </c>
      <c r="D39" s="9">
        <v>29.99</v>
      </c>
      <c r="E39" s="8">
        <v>82262</v>
      </c>
      <c r="F39" s="7" t="s">
        <v>2567</v>
      </c>
      <c r="G39" s="10"/>
      <c r="H39" s="7" t="s">
        <v>2369</v>
      </c>
      <c r="I39" s="7" t="s">
        <v>3015</v>
      </c>
      <c r="J39" s="7"/>
      <c r="K39" s="7"/>
      <c r="L39" s="11" t="str">
        <f>HYPERLINK("http://slimages.macys.com/is/image/MCY/17863046 ")</f>
        <v xml:space="preserve">http://slimages.macys.com/is/image/MCY/17863046 </v>
      </c>
    </row>
    <row r="40" spans="1:12" ht="39.950000000000003" customHeight="1" x14ac:dyDescent="0.25">
      <c r="A40" s="6" t="s">
        <v>169</v>
      </c>
      <c r="B40" s="7" t="s">
        <v>170</v>
      </c>
      <c r="C40" s="8">
        <v>1</v>
      </c>
      <c r="D40" s="9">
        <v>29.99</v>
      </c>
      <c r="E40" s="8">
        <v>75549</v>
      </c>
      <c r="F40" s="7"/>
      <c r="G40" s="10"/>
      <c r="H40" s="7" t="s">
        <v>2369</v>
      </c>
      <c r="I40" s="7" t="s">
        <v>3015</v>
      </c>
      <c r="J40" s="7" t="s">
        <v>2363</v>
      </c>
      <c r="K40" s="7" t="s">
        <v>2998</v>
      </c>
      <c r="L40" s="11" t="str">
        <f>HYPERLINK("http://slimages.macys.com/is/image/MCY/3813347 ")</f>
        <v xml:space="preserve">http://slimages.macys.com/is/image/MCY/3813347 </v>
      </c>
    </row>
    <row r="41" spans="1:12" ht="39.950000000000003" customHeight="1" x14ac:dyDescent="0.25">
      <c r="A41" s="6" t="s">
        <v>2068</v>
      </c>
      <c r="B41" s="7" t="s">
        <v>2069</v>
      </c>
      <c r="C41" s="8">
        <v>1</v>
      </c>
      <c r="D41" s="9">
        <v>29.99</v>
      </c>
      <c r="E41" s="8" t="s">
        <v>2070</v>
      </c>
      <c r="F41" s="7"/>
      <c r="G41" s="10"/>
      <c r="H41" s="7" t="s">
        <v>2369</v>
      </c>
      <c r="I41" s="7" t="s">
        <v>2431</v>
      </c>
      <c r="J41" s="7"/>
      <c r="K41" s="7"/>
      <c r="L41" s="11" t="str">
        <f>HYPERLINK("http://slimages.macys.com/is/image/MCY/17892833 ")</f>
        <v xml:space="preserve">http://slimages.macys.com/is/image/MCY/17892833 </v>
      </c>
    </row>
    <row r="42" spans="1:12" ht="39.950000000000003" customHeight="1" x14ac:dyDescent="0.25">
      <c r="A42" s="6" t="s">
        <v>171</v>
      </c>
      <c r="B42" s="7" t="s">
        <v>172</v>
      </c>
      <c r="C42" s="8">
        <v>1</v>
      </c>
      <c r="D42" s="9">
        <v>24.99</v>
      </c>
      <c r="E42" s="8" t="s">
        <v>173</v>
      </c>
      <c r="F42" s="7" t="s">
        <v>2355</v>
      </c>
      <c r="G42" s="10"/>
      <c r="H42" s="7" t="s">
        <v>2387</v>
      </c>
      <c r="I42" s="7" t="s">
        <v>2748</v>
      </c>
      <c r="J42" s="7" t="s">
        <v>2363</v>
      </c>
      <c r="K42" s="7" t="s">
        <v>174</v>
      </c>
      <c r="L42" s="11" t="str">
        <f>HYPERLINK("http://slimages.macys.com/is/image/MCY/13742796 ")</f>
        <v xml:space="preserve">http://slimages.macys.com/is/image/MCY/13742796 </v>
      </c>
    </row>
    <row r="43" spans="1:12" ht="39.950000000000003" customHeight="1" x14ac:dyDescent="0.25">
      <c r="A43" s="6" t="s">
        <v>175</v>
      </c>
      <c r="B43" s="7" t="s">
        <v>176</v>
      </c>
      <c r="C43" s="8">
        <v>1</v>
      </c>
      <c r="D43" s="9">
        <v>25.99</v>
      </c>
      <c r="E43" s="8">
        <v>40725</v>
      </c>
      <c r="F43" s="7" t="s">
        <v>2362</v>
      </c>
      <c r="G43" s="10"/>
      <c r="H43" s="7" t="s">
        <v>2391</v>
      </c>
      <c r="I43" s="7" t="s">
        <v>2456</v>
      </c>
      <c r="J43" s="7" t="s">
        <v>2363</v>
      </c>
      <c r="K43" s="7"/>
      <c r="L43" s="11" t="str">
        <f>HYPERLINK("http://slimages.macys.com/is/image/MCY/9972650 ")</f>
        <v xml:space="preserve">http://slimages.macys.com/is/image/MCY/9972650 </v>
      </c>
    </row>
    <row r="44" spans="1:12" ht="39.950000000000003" customHeight="1" x14ac:dyDescent="0.25">
      <c r="A44" s="6" t="s">
        <v>26</v>
      </c>
      <c r="B44" s="7" t="s">
        <v>27</v>
      </c>
      <c r="C44" s="8">
        <v>1</v>
      </c>
      <c r="D44" s="9">
        <v>29.99</v>
      </c>
      <c r="E44" s="8" t="s">
        <v>28</v>
      </c>
      <c r="F44" s="7" t="s">
        <v>2512</v>
      </c>
      <c r="G44" s="10"/>
      <c r="H44" s="7" t="s">
        <v>2387</v>
      </c>
      <c r="I44" s="7" t="s">
        <v>2559</v>
      </c>
      <c r="J44" s="7"/>
      <c r="K44" s="7"/>
      <c r="L44" s="11" t="str">
        <f>HYPERLINK("http://slimages.macys.com/is/image/MCY/17923602 ")</f>
        <v xml:space="preserve">http://slimages.macys.com/is/image/MCY/17923602 </v>
      </c>
    </row>
    <row r="45" spans="1:12" ht="39.950000000000003" customHeight="1" x14ac:dyDescent="0.25">
      <c r="A45" s="6" t="s">
        <v>177</v>
      </c>
      <c r="B45" s="7" t="s">
        <v>178</v>
      </c>
      <c r="C45" s="8">
        <v>1</v>
      </c>
      <c r="D45" s="9">
        <v>21.99</v>
      </c>
      <c r="E45" s="8">
        <v>56690</v>
      </c>
      <c r="F45" s="7" t="s">
        <v>2368</v>
      </c>
      <c r="G45" s="10" t="s">
        <v>2455</v>
      </c>
      <c r="H45" s="7" t="s">
        <v>2391</v>
      </c>
      <c r="I45" s="7" t="s">
        <v>2456</v>
      </c>
      <c r="J45" s="7" t="s">
        <v>2363</v>
      </c>
      <c r="K45" s="7" t="s">
        <v>2385</v>
      </c>
      <c r="L45" s="11" t="str">
        <f>HYPERLINK("http://slimages.macys.com/is/image/MCY/16061164 ")</f>
        <v xml:space="preserve">http://slimages.macys.com/is/image/MCY/16061164 </v>
      </c>
    </row>
    <row r="46" spans="1:12" ht="39.950000000000003" customHeight="1" x14ac:dyDescent="0.25">
      <c r="A46" s="6" t="s">
        <v>179</v>
      </c>
      <c r="B46" s="7" t="s">
        <v>2676</v>
      </c>
      <c r="C46" s="8">
        <v>1</v>
      </c>
      <c r="D46" s="9">
        <v>29.99</v>
      </c>
      <c r="E46" s="8" t="s">
        <v>180</v>
      </c>
      <c r="F46" s="7" t="s">
        <v>2468</v>
      </c>
      <c r="G46" s="10"/>
      <c r="H46" s="7" t="s">
        <v>2413</v>
      </c>
      <c r="I46" s="7" t="s">
        <v>2677</v>
      </c>
      <c r="J46" s="7" t="s">
        <v>2452</v>
      </c>
      <c r="K46" s="7"/>
      <c r="L46" s="11" t="str">
        <f>HYPERLINK("http://slimages.macys.com/is/image/MCY/9555756 ")</f>
        <v xml:space="preserve">http://slimages.macys.com/is/image/MCY/9555756 </v>
      </c>
    </row>
    <row r="47" spans="1:12" ht="39.950000000000003" customHeight="1" x14ac:dyDescent="0.25">
      <c r="A47" s="6" t="s">
        <v>181</v>
      </c>
      <c r="B47" s="7" t="s">
        <v>182</v>
      </c>
      <c r="C47" s="8">
        <v>1</v>
      </c>
      <c r="D47" s="9">
        <v>19.989999999999998</v>
      </c>
      <c r="E47" s="8" t="s">
        <v>183</v>
      </c>
      <c r="F47" s="7" t="s">
        <v>2368</v>
      </c>
      <c r="G47" s="10"/>
      <c r="H47" s="7" t="s">
        <v>2387</v>
      </c>
      <c r="I47" s="7" t="s">
        <v>2748</v>
      </c>
      <c r="J47" s="7" t="s">
        <v>2363</v>
      </c>
      <c r="K47" s="7" t="s">
        <v>2385</v>
      </c>
      <c r="L47" s="11" t="str">
        <f>HYPERLINK("http://slimages.macys.com/is/image/MCY/13743272 ")</f>
        <v xml:space="preserve">http://slimages.macys.com/is/image/MCY/13743272 </v>
      </c>
    </row>
    <row r="48" spans="1:12" ht="39.950000000000003" customHeight="1" x14ac:dyDescent="0.25">
      <c r="A48" s="6" t="s">
        <v>184</v>
      </c>
      <c r="B48" s="7" t="s">
        <v>185</v>
      </c>
      <c r="C48" s="8">
        <v>1</v>
      </c>
      <c r="D48" s="9">
        <v>29.99</v>
      </c>
      <c r="E48" s="8" t="s">
        <v>186</v>
      </c>
      <c r="F48" s="7" t="s">
        <v>2403</v>
      </c>
      <c r="G48" s="10"/>
      <c r="H48" s="7" t="s">
        <v>2535</v>
      </c>
      <c r="I48" s="7" t="s">
        <v>2561</v>
      </c>
      <c r="J48" s="7" t="s">
        <v>2363</v>
      </c>
      <c r="K48" s="7" t="s">
        <v>2385</v>
      </c>
      <c r="L48" s="11" t="str">
        <f>HYPERLINK("http://slimages.macys.com/is/image/MCY/3769061 ")</f>
        <v xml:space="preserve">http://slimages.macys.com/is/image/MCY/3769061 </v>
      </c>
    </row>
    <row r="49" spans="1:12" ht="39.950000000000003" customHeight="1" x14ac:dyDescent="0.25">
      <c r="A49" s="6" t="s">
        <v>187</v>
      </c>
      <c r="B49" s="7" t="s">
        <v>188</v>
      </c>
      <c r="C49" s="8">
        <v>1</v>
      </c>
      <c r="D49" s="9">
        <v>17.989999999999998</v>
      </c>
      <c r="E49" s="8" t="s">
        <v>189</v>
      </c>
      <c r="F49" s="7" t="s">
        <v>2495</v>
      </c>
      <c r="G49" s="10"/>
      <c r="H49" s="7" t="s">
        <v>2420</v>
      </c>
      <c r="I49" s="7" t="s">
        <v>2605</v>
      </c>
      <c r="J49" s="7" t="s">
        <v>2363</v>
      </c>
      <c r="K49" s="7" t="s">
        <v>190</v>
      </c>
      <c r="L49" s="11" t="str">
        <f>HYPERLINK("http://slimages.macys.com/is/image/MCY/15893112 ")</f>
        <v xml:space="preserve">http://slimages.macys.com/is/image/MCY/15893112 </v>
      </c>
    </row>
    <row r="50" spans="1:12" ht="39.950000000000003" customHeight="1" x14ac:dyDescent="0.25">
      <c r="A50" s="6" t="s">
        <v>1749</v>
      </c>
      <c r="B50" s="7" t="s">
        <v>1750</v>
      </c>
      <c r="C50" s="8">
        <v>1</v>
      </c>
      <c r="D50" s="9">
        <v>15.99</v>
      </c>
      <c r="E50" s="8" t="s">
        <v>1751</v>
      </c>
      <c r="F50" s="7" t="s">
        <v>2355</v>
      </c>
      <c r="G50" s="10" t="s">
        <v>2469</v>
      </c>
      <c r="H50" s="7" t="s">
        <v>2407</v>
      </c>
      <c r="I50" s="7" t="s">
        <v>2678</v>
      </c>
      <c r="J50" s="7" t="s">
        <v>2795</v>
      </c>
      <c r="K50" s="7" t="s">
        <v>2813</v>
      </c>
      <c r="L50" s="11" t="str">
        <f>HYPERLINK("http://slimages.macys.com/is/image/MCY/16541158 ")</f>
        <v xml:space="preserve">http://slimages.macys.com/is/image/MCY/16541158 </v>
      </c>
    </row>
    <row r="51" spans="1:12" ht="39.950000000000003" customHeight="1" x14ac:dyDescent="0.25">
      <c r="A51" s="6" t="s">
        <v>191</v>
      </c>
      <c r="B51" s="7" t="s">
        <v>192</v>
      </c>
      <c r="C51" s="8">
        <v>1</v>
      </c>
      <c r="D51" s="9">
        <v>3.99</v>
      </c>
      <c r="E51" s="8" t="s">
        <v>193</v>
      </c>
      <c r="F51" s="7" t="s">
        <v>2403</v>
      </c>
      <c r="G51" s="10" t="s">
        <v>2441</v>
      </c>
      <c r="H51" s="7" t="s">
        <v>2420</v>
      </c>
      <c r="I51" s="7" t="s">
        <v>3082</v>
      </c>
      <c r="J51" s="7"/>
      <c r="K51" s="7"/>
      <c r="L51" s="11" t="str">
        <f>HYPERLINK("http://slimages.macys.com/is/image/MCY/18145997 ")</f>
        <v xml:space="preserve">http://slimages.macys.com/is/image/MCY/18145997 </v>
      </c>
    </row>
    <row r="52" spans="1:12" ht="39.950000000000003" customHeight="1" x14ac:dyDescent="0.25">
      <c r="A52" s="6" t="s">
        <v>194</v>
      </c>
      <c r="B52" s="7" t="s">
        <v>195</v>
      </c>
      <c r="C52" s="8">
        <v>1</v>
      </c>
      <c r="D52" s="9">
        <v>179.99</v>
      </c>
      <c r="E52" s="8" t="s">
        <v>196</v>
      </c>
      <c r="F52" s="7" t="s">
        <v>2368</v>
      </c>
      <c r="G52" s="10"/>
      <c r="H52" s="7" t="s">
        <v>2357</v>
      </c>
      <c r="I52" s="7" t="s">
        <v>2476</v>
      </c>
      <c r="J52" s="7"/>
      <c r="K52" s="7"/>
      <c r="L52" s="11"/>
    </row>
    <row r="53" spans="1:12" ht="39.950000000000003" customHeight="1" x14ac:dyDescent="0.25">
      <c r="A53" s="6" t="s">
        <v>2466</v>
      </c>
      <c r="B53" s="7" t="s">
        <v>2467</v>
      </c>
      <c r="C53" s="8">
        <v>5</v>
      </c>
      <c r="D53" s="9">
        <v>200</v>
      </c>
      <c r="E53" s="8"/>
      <c r="F53" s="7" t="s">
        <v>2468</v>
      </c>
      <c r="G53" s="10" t="s">
        <v>2469</v>
      </c>
      <c r="H53" s="7" t="s">
        <v>2470</v>
      </c>
      <c r="I53" s="7" t="s">
        <v>2471</v>
      </c>
      <c r="J53" s="7"/>
      <c r="K53" s="7"/>
      <c r="L53" s="11"/>
    </row>
    <row r="54" spans="1:12" ht="39.950000000000003" customHeight="1" x14ac:dyDescent="0.25">
      <c r="A54" s="6" t="s">
        <v>197</v>
      </c>
      <c r="B54" s="7" t="s">
        <v>198</v>
      </c>
      <c r="C54" s="8">
        <v>1</v>
      </c>
      <c r="D54" s="9">
        <v>49.99</v>
      </c>
      <c r="E54" s="8" t="s">
        <v>199</v>
      </c>
      <c r="F54" s="7" t="s">
        <v>2495</v>
      </c>
      <c r="G54" s="10"/>
      <c r="H54" s="7" t="s">
        <v>2387</v>
      </c>
      <c r="I54" s="7" t="s">
        <v>2404</v>
      </c>
      <c r="J54" s="7"/>
      <c r="K54" s="7"/>
      <c r="L54" s="11"/>
    </row>
    <row r="55" spans="1:12" ht="39.950000000000003" customHeight="1" x14ac:dyDescent="0.25">
      <c r="A55" s="6" t="s">
        <v>200</v>
      </c>
      <c r="B55" s="7" t="s">
        <v>201</v>
      </c>
      <c r="C55" s="8">
        <v>1</v>
      </c>
      <c r="D55" s="9">
        <v>54.99</v>
      </c>
      <c r="E55" s="8">
        <v>22367238</v>
      </c>
      <c r="F55" s="7" t="s">
        <v>2355</v>
      </c>
      <c r="G55" s="10"/>
      <c r="H55" s="7" t="s">
        <v>2387</v>
      </c>
      <c r="I55" s="7" t="s">
        <v>2370</v>
      </c>
      <c r="J55" s="7"/>
      <c r="K55" s="7"/>
      <c r="L55" s="11"/>
    </row>
    <row r="56" spans="1:12" ht="39.950000000000003" customHeight="1" x14ac:dyDescent="0.25">
      <c r="A56" s="6" t="s">
        <v>202</v>
      </c>
      <c r="B56" s="7" t="s">
        <v>203</v>
      </c>
      <c r="C56" s="8">
        <v>1</v>
      </c>
      <c r="D56" s="9">
        <v>34.99</v>
      </c>
      <c r="E56" s="8">
        <v>100109480</v>
      </c>
      <c r="F56" s="7" t="s">
        <v>3009</v>
      </c>
      <c r="G56" s="10"/>
      <c r="H56" s="7" t="s">
        <v>2486</v>
      </c>
      <c r="I56" s="7" t="s">
        <v>2487</v>
      </c>
      <c r="J56" s="7"/>
      <c r="K56" s="7"/>
      <c r="L56" s="11"/>
    </row>
    <row r="57" spans="1:12" ht="39.950000000000003" customHeight="1" x14ac:dyDescent="0.25">
      <c r="A57" s="6" t="s">
        <v>204</v>
      </c>
      <c r="B57" s="7" t="s">
        <v>205</v>
      </c>
      <c r="C57" s="8">
        <v>1</v>
      </c>
      <c r="D57" s="9">
        <v>28.99</v>
      </c>
      <c r="E57" s="8" t="s">
        <v>206</v>
      </c>
      <c r="F57" s="7" t="s">
        <v>2534</v>
      </c>
      <c r="G57" s="10"/>
      <c r="H57" s="7" t="s">
        <v>2420</v>
      </c>
      <c r="I57" s="7" t="s">
        <v>83</v>
      </c>
      <c r="J57" s="7"/>
      <c r="K57" s="7"/>
      <c r="L57" s="11"/>
    </row>
  </sheetData>
  <phoneticPr fontId="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58"/>
  <sheetViews>
    <sheetView workbookViewId="0">
      <selection activeCell="B44" sqref="B44"/>
    </sheetView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2350</v>
      </c>
      <c r="I1" s="5" t="s">
        <v>2351</v>
      </c>
      <c r="J1" s="5" t="s">
        <v>2352</v>
      </c>
      <c r="K1" s="5" t="s">
        <v>2353</v>
      </c>
      <c r="L1" s="5" t="s">
        <v>2354</v>
      </c>
    </row>
    <row r="2" spans="1:12" ht="39.950000000000003" customHeight="1" x14ac:dyDescent="0.25">
      <c r="A2" s="6" t="s">
        <v>207</v>
      </c>
      <c r="B2" s="7" t="s">
        <v>208</v>
      </c>
      <c r="C2" s="8">
        <v>1</v>
      </c>
      <c r="D2" s="9">
        <v>299.99</v>
      </c>
      <c r="E2" s="8" t="s">
        <v>209</v>
      </c>
      <c r="F2" s="7" t="s">
        <v>2355</v>
      </c>
      <c r="G2" s="10"/>
      <c r="H2" s="7" t="s">
        <v>2383</v>
      </c>
      <c r="I2" s="7" t="s">
        <v>2384</v>
      </c>
      <c r="J2" s="7" t="s">
        <v>2363</v>
      </c>
      <c r="K2" s="7" t="s">
        <v>2793</v>
      </c>
      <c r="L2" s="11" t="str">
        <f>HYPERLINK("http://slimages.macys.com/is/image/MCY/2567151 ")</f>
        <v xml:space="preserve">http://slimages.macys.com/is/image/MCY/2567151 </v>
      </c>
    </row>
    <row r="3" spans="1:12" ht="39.950000000000003" customHeight="1" x14ac:dyDescent="0.25">
      <c r="A3" s="6" t="s">
        <v>210</v>
      </c>
      <c r="B3" s="7" t="s">
        <v>211</v>
      </c>
      <c r="C3" s="8">
        <v>1</v>
      </c>
      <c r="D3" s="9">
        <v>279.99</v>
      </c>
      <c r="E3" s="8" t="s">
        <v>212</v>
      </c>
      <c r="F3" s="7" t="s">
        <v>2495</v>
      </c>
      <c r="G3" s="10"/>
      <c r="H3" s="7" t="s">
        <v>2383</v>
      </c>
      <c r="I3" s="7" t="s">
        <v>2384</v>
      </c>
      <c r="J3" s="7" t="s">
        <v>2363</v>
      </c>
      <c r="K3" s="7" t="s">
        <v>2793</v>
      </c>
      <c r="L3" s="11" t="str">
        <f>HYPERLINK("http://slimages.macys.com/is/image/MCY/1611451 ")</f>
        <v xml:space="preserve">http://slimages.macys.com/is/image/MCY/1611451 </v>
      </c>
    </row>
    <row r="4" spans="1:12" ht="39.950000000000003" customHeight="1" x14ac:dyDescent="0.25">
      <c r="A4" s="6" t="s">
        <v>213</v>
      </c>
      <c r="B4" s="7" t="s">
        <v>214</v>
      </c>
      <c r="C4" s="8">
        <v>2</v>
      </c>
      <c r="D4" s="9">
        <v>250</v>
      </c>
      <c r="E4" s="8">
        <v>3475</v>
      </c>
      <c r="F4" s="7" t="s">
        <v>2468</v>
      </c>
      <c r="G4" s="10"/>
      <c r="H4" s="7" t="s">
        <v>2458</v>
      </c>
      <c r="I4" s="7" t="s">
        <v>215</v>
      </c>
      <c r="J4" s="7"/>
      <c r="K4" s="7"/>
      <c r="L4" s="11" t="str">
        <f>HYPERLINK("http://images.bloomingdales.com/is/image/BLM/8551193 ")</f>
        <v xml:space="preserve">http://images.bloomingdales.com/is/image/BLM/8551193 </v>
      </c>
    </row>
    <row r="5" spans="1:12" ht="39.950000000000003" customHeight="1" x14ac:dyDescent="0.25">
      <c r="A5" s="6" t="s">
        <v>216</v>
      </c>
      <c r="B5" s="7" t="s">
        <v>217</v>
      </c>
      <c r="C5" s="8">
        <v>1</v>
      </c>
      <c r="D5" s="9">
        <v>217.99</v>
      </c>
      <c r="E5" s="8" t="s">
        <v>218</v>
      </c>
      <c r="F5" s="7" t="s">
        <v>2368</v>
      </c>
      <c r="G5" s="10"/>
      <c r="H5" s="7" t="s">
        <v>2369</v>
      </c>
      <c r="I5" s="7" t="s">
        <v>2409</v>
      </c>
      <c r="J5" s="7" t="s">
        <v>2363</v>
      </c>
      <c r="K5" s="7" t="s">
        <v>219</v>
      </c>
      <c r="L5" s="11" t="str">
        <f>HYPERLINK("http://slimages.macys.com/is/image/MCY/12491043 ")</f>
        <v xml:space="preserve">http://slimages.macys.com/is/image/MCY/12491043 </v>
      </c>
    </row>
    <row r="6" spans="1:12" ht="39.950000000000003" customHeight="1" x14ac:dyDescent="0.25">
      <c r="A6" s="6" t="s">
        <v>220</v>
      </c>
      <c r="B6" s="7" t="s">
        <v>221</v>
      </c>
      <c r="C6" s="8">
        <v>1</v>
      </c>
      <c r="D6" s="9">
        <v>137.99</v>
      </c>
      <c r="E6" s="8" t="s">
        <v>222</v>
      </c>
      <c r="F6" s="7" t="s">
        <v>2495</v>
      </c>
      <c r="G6" s="10"/>
      <c r="H6" s="7" t="s">
        <v>2369</v>
      </c>
      <c r="I6" s="7" t="s">
        <v>2409</v>
      </c>
      <c r="J6" s="7" t="s">
        <v>2363</v>
      </c>
      <c r="K6" s="7" t="s">
        <v>223</v>
      </c>
      <c r="L6" s="11" t="str">
        <f>HYPERLINK("http://slimages.macys.com/is/image/MCY/9798727 ")</f>
        <v xml:space="preserve">http://slimages.macys.com/is/image/MCY/9798727 </v>
      </c>
    </row>
    <row r="7" spans="1:12" ht="39.950000000000003" customHeight="1" x14ac:dyDescent="0.25">
      <c r="A7" s="6" t="s">
        <v>224</v>
      </c>
      <c r="B7" s="7" t="s">
        <v>225</v>
      </c>
      <c r="C7" s="8">
        <v>1</v>
      </c>
      <c r="D7" s="9">
        <v>131.99</v>
      </c>
      <c r="E7" s="8" t="s">
        <v>226</v>
      </c>
      <c r="F7" s="7" t="s">
        <v>1796</v>
      </c>
      <c r="G7" s="10"/>
      <c r="H7" s="7" t="s">
        <v>2391</v>
      </c>
      <c r="I7" s="7" t="s">
        <v>2437</v>
      </c>
      <c r="J7" s="7" t="s">
        <v>2363</v>
      </c>
      <c r="K7" s="7" t="s">
        <v>2385</v>
      </c>
      <c r="L7" s="11" t="str">
        <f>HYPERLINK("http://slimages.macys.com/is/image/MCY/12225232 ")</f>
        <v xml:space="preserve">http://slimages.macys.com/is/image/MCY/12225232 </v>
      </c>
    </row>
    <row r="8" spans="1:12" ht="39.950000000000003" customHeight="1" x14ac:dyDescent="0.25">
      <c r="A8" s="6" t="s">
        <v>227</v>
      </c>
      <c r="B8" s="7" t="s">
        <v>228</v>
      </c>
      <c r="C8" s="8">
        <v>1</v>
      </c>
      <c r="D8" s="9">
        <v>99.99</v>
      </c>
      <c r="E8" s="8" t="s">
        <v>229</v>
      </c>
      <c r="F8" s="7" t="s">
        <v>2918</v>
      </c>
      <c r="G8" s="10"/>
      <c r="H8" s="7" t="s">
        <v>2369</v>
      </c>
      <c r="I8" s="7" t="s">
        <v>1683</v>
      </c>
      <c r="J8" s="7" t="s">
        <v>2363</v>
      </c>
      <c r="K8" s="7"/>
      <c r="L8" s="11" t="str">
        <f>HYPERLINK("http://slimages.macys.com/is/image/MCY/8708256 ")</f>
        <v xml:space="preserve">http://slimages.macys.com/is/image/MCY/8708256 </v>
      </c>
    </row>
    <row r="9" spans="1:12" ht="39.950000000000003" customHeight="1" x14ac:dyDescent="0.25">
      <c r="A9" s="6" t="s">
        <v>230</v>
      </c>
      <c r="B9" s="7" t="s">
        <v>231</v>
      </c>
      <c r="C9" s="8">
        <v>1</v>
      </c>
      <c r="D9" s="9">
        <v>71.989999999999995</v>
      </c>
      <c r="E9" s="8" t="s">
        <v>232</v>
      </c>
      <c r="F9" s="7" t="s">
        <v>2368</v>
      </c>
      <c r="G9" s="10"/>
      <c r="H9" s="7" t="s">
        <v>2391</v>
      </c>
      <c r="I9" s="7" t="s">
        <v>2409</v>
      </c>
      <c r="J9" s="7" t="s">
        <v>2363</v>
      </c>
      <c r="K9" s="7" t="s">
        <v>2927</v>
      </c>
      <c r="L9" s="11" t="str">
        <f>HYPERLINK("http://slimages.macys.com/is/image/MCY/9534093 ")</f>
        <v xml:space="preserve">http://slimages.macys.com/is/image/MCY/9534093 </v>
      </c>
    </row>
    <row r="10" spans="1:12" ht="39.950000000000003" customHeight="1" x14ac:dyDescent="0.25">
      <c r="A10" s="6" t="s">
        <v>233</v>
      </c>
      <c r="B10" s="7" t="s">
        <v>234</v>
      </c>
      <c r="C10" s="8">
        <v>1</v>
      </c>
      <c r="D10" s="9">
        <v>69.989999999999995</v>
      </c>
      <c r="E10" s="8" t="s">
        <v>235</v>
      </c>
      <c r="F10" s="7" t="s">
        <v>2403</v>
      </c>
      <c r="G10" s="10"/>
      <c r="H10" s="7" t="s">
        <v>2369</v>
      </c>
      <c r="I10" s="7" t="s">
        <v>2409</v>
      </c>
      <c r="J10" s="7" t="s">
        <v>2363</v>
      </c>
      <c r="K10" s="7" t="s">
        <v>236</v>
      </c>
      <c r="L10" s="11" t="str">
        <f>HYPERLINK("http://slimages.macys.com/is/image/MCY/9191427 ")</f>
        <v xml:space="preserve">http://slimages.macys.com/is/image/MCY/9191427 </v>
      </c>
    </row>
    <row r="11" spans="1:12" ht="39.950000000000003" customHeight="1" x14ac:dyDescent="0.25">
      <c r="A11" s="6" t="s">
        <v>237</v>
      </c>
      <c r="B11" s="7" t="s">
        <v>238</v>
      </c>
      <c r="C11" s="8">
        <v>2</v>
      </c>
      <c r="D11" s="9">
        <v>145.97999999999999</v>
      </c>
      <c r="E11" s="8" t="s">
        <v>239</v>
      </c>
      <c r="F11" s="7" t="s">
        <v>2558</v>
      </c>
      <c r="G11" s="10"/>
      <c r="H11" s="7" t="s">
        <v>2369</v>
      </c>
      <c r="I11" s="7" t="s">
        <v>2409</v>
      </c>
      <c r="J11" s="7" t="s">
        <v>2363</v>
      </c>
      <c r="K11" s="7" t="s">
        <v>2275</v>
      </c>
      <c r="L11" s="11" t="str">
        <f>HYPERLINK("http://slimages.macys.com/is/image/MCY/14430884 ")</f>
        <v xml:space="preserve">http://slimages.macys.com/is/image/MCY/14430884 </v>
      </c>
    </row>
    <row r="12" spans="1:12" ht="39.950000000000003" customHeight="1" x14ac:dyDescent="0.25">
      <c r="A12" s="6" t="s">
        <v>2706</v>
      </c>
      <c r="B12" s="7" t="s">
        <v>2707</v>
      </c>
      <c r="C12" s="8">
        <v>4</v>
      </c>
      <c r="D12" s="9">
        <v>319.95999999999998</v>
      </c>
      <c r="E12" s="8" t="s">
        <v>2708</v>
      </c>
      <c r="F12" s="7" t="s">
        <v>2362</v>
      </c>
      <c r="G12" s="10"/>
      <c r="H12" s="7" t="s">
        <v>2357</v>
      </c>
      <c r="I12" s="7" t="s">
        <v>2358</v>
      </c>
      <c r="J12" s="7" t="s">
        <v>2363</v>
      </c>
      <c r="K12" s="7"/>
      <c r="L12" s="11" t="str">
        <f>HYPERLINK("http://slimages.macys.com/is/image/MCY/9621144 ")</f>
        <v xml:space="preserve">http://slimages.macys.com/is/image/MCY/9621144 </v>
      </c>
    </row>
    <row r="13" spans="1:12" ht="39.950000000000003" customHeight="1" x14ac:dyDescent="0.25">
      <c r="A13" s="6" t="s">
        <v>240</v>
      </c>
      <c r="B13" s="7" t="s">
        <v>241</v>
      </c>
      <c r="C13" s="8">
        <v>2</v>
      </c>
      <c r="D13" s="9">
        <v>159.97999999999999</v>
      </c>
      <c r="E13" s="8" t="s">
        <v>242</v>
      </c>
      <c r="F13" s="7" t="s">
        <v>2362</v>
      </c>
      <c r="G13" s="10"/>
      <c r="H13" s="7" t="s">
        <v>2357</v>
      </c>
      <c r="I13" s="7" t="s">
        <v>2358</v>
      </c>
      <c r="J13" s="7" t="s">
        <v>2363</v>
      </c>
      <c r="K13" s="7"/>
      <c r="L13" s="11" t="str">
        <f>HYPERLINK("http://slimages.macys.com/is/image/MCY/9621146 ")</f>
        <v xml:space="preserve">http://slimages.macys.com/is/image/MCY/9621146 </v>
      </c>
    </row>
    <row r="14" spans="1:12" ht="39.950000000000003" customHeight="1" x14ac:dyDescent="0.25">
      <c r="A14" s="6" t="s">
        <v>243</v>
      </c>
      <c r="B14" s="7" t="s">
        <v>244</v>
      </c>
      <c r="C14" s="8">
        <v>1</v>
      </c>
      <c r="D14" s="9">
        <v>38</v>
      </c>
      <c r="E14" s="8" t="s">
        <v>245</v>
      </c>
      <c r="F14" s="7" t="s">
        <v>2419</v>
      </c>
      <c r="G14" s="10" t="s">
        <v>2469</v>
      </c>
      <c r="H14" s="7" t="s">
        <v>2458</v>
      </c>
      <c r="I14" s="7" t="s">
        <v>246</v>
      </c>
      <c r="J14" s="7" t="s">
        <v>2496</v>
      </c>
      <c r="K14" s="7" t="s">
        <v>2389</v>
      </c>
      <c r="L14" s="11" t="str">
        <f>HYPERLINK("http://images.bloomingdales.com/is/image/BLM/9818916 ")</f>
        <v xml:space="preserve">http://images.bloomingdales.com/is/image/BLM/9818916 </v>
      </c>
    </row>
    <row r="15" spans="1:12" ht="39.950000000000003" customHeight="1" x14ac:dyDescent="0.25">
      <c r="A15" s="6" t="s">
        <v>247</v>
      </c>
      <c r="B15" s="7" t="s">
        <v>248</v>
      </c>
      <c r="C15" s="8">
        <v>1</v>
      </c>
      <c r="D15" s="9">
        <v>35</v>
      </c>
      <c r="E15" s="8" t="s">
        <v>249</v>
      </c>
      <c r="F15" s="7" t="s">
        <v>2355</v>
      </c>
      <c r="G15" s="10"/>
      <c r="H15" s="7" t="s">
        <v>2420</v>
      </c>
      <c r="I15" s="7" t="s">
        <v>2724</v>
      </c>
      <c r="J15" s="7" t="s">
        <v>250</v>
      </c>
      <c r="K15" s="7" t="s">
        <v>251</v>
      </c>
      <c r="L15" s="11" t="str">
        <f>HYPERLINK("http://images.bloomingdales.com/is/image/BLM/10045009 ")</f>
        <v xml:space="preserve">http://images.bloomingdales.com/is/image/BLM/10045009 </v>
      </c>
    </row>
    <row r="16" spans="1:12" ht="39.950000000000003" customHeight="1" x14ac:dyDescent="0.25">
      <c r="A16" s="6" t="s">
        <v>252</v>
      </c>
      <c r="B16" s="7" t="s">
        <v>253</v>
      </c>
      <c r="C16" s="8">
        <v>1</v>
      </c>
      <c r="D16" s="9">
        <v>35.99</v>
      </c>
      <c r="E16" s="8" t="s">
        <v>254</v>
      </c>
      <c r="F16" s="7" t="s">
        <v>2446</v>
      </c>
      <c r="G16" s="10"/>
      <c r="H16" s="7" t="s">
        <v>2391</v>
      </c>
      <c r="I16" s="7" t="s">
        <v>2409</v>
      </c>
      <c r="J16" s="7" t="s">
        <v>2363</v>
      </c>
      <c r="K16" s="7" t="s">
        <v>2727</v>
      </c>
      <c r="L16" s="11" t="str">
        <f>HYPERLINK("http://slimages.macys.com/is/image/MCY/9310361 ")</f>
        <v xml:space="preserve">http://slimages.macys.com/is/image/MCY/9310361 </v>
      </c>
    </row>
    <row r="17" spans="1:12" ht="39.950000000000003" customHeight="1" x14ac:dyDescent="0.25">
      <c r="A17" s="6" t="s">
        <v>1650</v>
      </c>
      <c r="B17" s="7" t="s">
        <v>1651</v>
      </c>
      <c r="C17" s="8">
        <v>1</v>
      </c>
      <c r="D17" s="9">
        <v>35.99</v>
      </c>
      <c r="E17" s="8" t="s">
        <v>1652</v>
      </c>
      <c r="F17" s="7" t="s">
        <v>2372</v>
      </c>
      <c r="G17" s="10"/>
      <c r="H17" s="7" t="s">
        <v>2391</v>
      </c>
      <c r="I17" s="7" t="s">
        <v>2409</v>
      </c>
      <c r="J17" s="7" t="s">
        <v>2363</v>
      </c>
      <c r="K17" s="7" t="s">
        <v>2727</v>
      </c>
      <c r="L17" s="11" t="str">
        <f>HYPERLINK("http://slimages.macys.com/is/image/MCY/9310361 ")</f>
        <v xml:space="preserve">http://slimages.macys.com/is/image/MCY/9310361 </v>
      </c>
    </row>
    <row r="18" spans="1:12" ht="39.950000000000003" customHeight="1" x14ac:dyDescent="0.25">
      <c r="A18" s="6" t="s">
        <v>255</v>
      </c>
      <c r="B18" s="7" t="s">
        <v>256</v>
      </c>
      <c r="C18" s="8">
        <v>1</v>
      </c>
      <c r="D18" s="9">
        <v>34.99</v>
      </c>
      <c r="E18" s="8" t="s">
        <v>257</v>
      </c>
      <c r="F18" s="7" t="s">
        <v>2514</v>
      </c>
      <c r="G18" s="10"/>
      <c r="H18" s="7" t="s">
        <v>2391</v>
      </c>
      <c r="I18" s="7" t="s">
        <v>2409</v>
      </c>
      <c r="J18" s="7" t="s">
        <v>2363</v>
      </c>
      <c r="K18" s="7"/>
      <c r="L18" s="11" t="str">
        <f>HYPERLINK("http://slimages.macys.com/is/image/MCY/16421124 ")</f>
        <v xml:space="preserve">http://slimages.macys.com/is/image/MCY/16421124 </v>
      </c>
    </row>
    <row r="19" spans="1:12" ht="39.950000000000003" customHeight="1" x14ac:dyDescent="0.25">
      <c r="A19" s="6" t="s">
        <v>809</v>
      </c>
      <c r="B19" s="7" t="s">
        <v>810</v>
      </c>
      <c r="C19" s="8">
        <v>1</v>
      </c>
      <c r="D19" s="9">
        <v>31.99</v>
      </c>
      <c r="E19" s="8" t="s">
        <v>811</v>
      </c>
      <c r="F19" s="7" t="s">
        <v>2368</v>
      </c>
      <c r="G19" s="10"/>
      <c r="H19" s="7" t="s">
        <v>2391</v>
      </c>
      <c r="I19" s="7" t="s">
        <v>2409</v>
      </c>
      <c r="J19" s="7" t="s">
        <v>2363</v>
      </c>
      <c r="K19" s="7"/>
      <c r="L19" s="11" t="str">
        <f>HYPERLINK("http://slimages.macys.com/is/image/MCY/9912809 ")</f>
        <v xml:space="preserve">http://slimages.macys.com/is/image/MCY/9912809 </v>
      </c>
    </row>
    <row r="20" spans="1:12" ht="39.950000000000003" customHeight="1" x14ac:dyDescent="0.25">
      <c r="A20" s="6" t="s">
        <v>258</v>
      </c>
      <c r="B20" s="7" t="s">
        <v>259</v>
      </c>
      <c r="C20" s="8">
        <v>6</v>
      </c>
      <c r="D20" s="9">
        <v>209.94</v>
      </c>
      <c r="E20" s="8" t="s">
        <v>260</v>
      </c>
      <c r="F20" s="7" t="s">
        <v>2495</v>
      </c>
      <c r="G20" s="10" t="s">
        <v>1076</v>
      </c>
      <c r="H20" s="7" t="s">
        <v>2391</v>
      </c>
      <c r="I20" s="7" t="s">
        <v>2409</v>
      </c>
      <c r="J20" s="7" t="s">
        <v>2363</v>
      </c>
      <c r="K20" s="7" t="s">
        <v>2913</v>
      </c>
      <c r="L20" s="11" t="str">
        <f>HYPERLINK("http://slimages.macys.com/is/image/MCY/8810083 ")</f>
        <v xml:space="preserve">http://slimages.macys.com/is/image/MCY/8810083 </v>
      </c>
    </row>
    <row r="21" spans="1:12" ht="39.950000000000003" customHeight="1" x14ac:dyDescent="0.25">
      <c r="A21" s="6" t="s">
        <v>261</v>
      </c>
      <c r="B21" s="7" t="s">
        <v>262</v>
      </c>
      <c r="C21" s="8">
        <v>3</v>
      </c>
      <c r="D21" s="9">
        <v>104.97</v>
      </c>
      <c r="E21" s="8" t="s">
        <v>263</v>
      </c>
      <c r="F21" s="7" t="s">
        <v>2368</v>
      </c>
      <c r="G21" s="10" t="s">
        <v>1076</v>
      </c>
      <c r="H21" s="7" t="s">
        <v>2391</v>
      </c>
      <c r="I21" s="7" t="s">
        <v>2409</v>
      </c>
      <c r="J21" s="7" t="s">
        <v>2363</v>
      </c>
      <c r="K21" s="7" t="s">
        <v>2913</v>
      </c>
      <c r="L21" s="11" t="str">
        <f>HYPERLINK("http://slimages.macys.com/is/image/MCY/8810083 ")</f>
        <v xml:space="preserve">http://slimages.macys.com/is/image/MCY/8810083 </v>
      </c>
    </row>
    <row r="22" spans="1:12" ht="39.950000000000003" customHeight="1" x14ac:dyDescent="0.25">
      <c r="A22" s="6" t="s">
        <v>264</v>
      </c>
      <c r="B22" s="7" t="s">
        <v>265</v>
      </c>
      <c r="C22" s="8">
        <v>2</v>
      </c>
      <c r="D22" s="9">
        <v>60</v>
      </c>
      <c r="E22" s="8" t="s">
        <v>266</v>
      </c>
      <c r="F22" s="7"/>
      <c r="G22" s="10" t="s">
        <v>2469</v>
      </c>
      <c r="H22" s="7" t="s">
        <v>2420</v>
      </c>
      <c r="I22" s="7" t="s">
        <v>267</v>
      </c>
      <c r="J22" s="7" t="s">
        <v>2496</v>
      </c>
      <c r="K22" s="7" t="s">
        <v>268</v>
      </c>
      <c r="L22" s="11" t="str">
        <f>HYPERLINK("http://images.bloomingdales.com/is/image/BLM/9731880 ")</f>
        <v xml:space="preserve">http://images.bloomingdales.com/is/image/BLM/9731880 </v>
      </c>
    </row>
    <row r="23" spans="1:12" ht="39.950000000000003" customHeight="1" x14ac:dyDescent="0.25">
      <c r="A23" s="6" t="s">
        <v>269</v>
      </c>
      <c r="B23" s="7" t="s">
        <v>270</v>
      </c>
      <c r="C23" s="8">
        <v>1</v>
      </c>
      <c r="D23" s="9">
        <v>34.99</v>
      </c>
      <c r="E23" s="8" t="s">
        <v>271</v>
      </c>
      <c r="F23" s="7" t="s">
        <v>2495</v>
      </c>
      <c r="G23" s="10"/>
      <c r="H23" s="7" t="s">
        <v>2383</v>
      </c>
      <c r="I23" s="7" t="s">
        <v>2384</v>
      </c>
      <c r="J23" s="7" t="s">
        <v>2363</v>
      </c>
      <c r="K23" s="7" t="s">
        <v>2531</v>
      </c>
      <c r="L23" s="11" t="str">
        <f>HYPERLINK("http://slimages.macys.com/is/image/MCY/8794124 ")</f>
        <v xml:space="preserve">http://slimages.macys.com/is/image/MCY/8794124 </v>
      </c>
    </row>
    <row r="24" spans="1:12" ht="39.950000000000003" customHeight="1" x14ac:dyDescent="0.25">
      <c r="A24" s="6" t="s">
        <v>708</v>
      </c>
      <c r="B24" s="7" t="s">
        <v>709</v>
      </c>
      <c r="C24" s="8">
        <v>4</v>
      </c>
      <c r="D24" s="9">
        <v>111.96</v>
      </c>
      <c r="E24" s="8" t="s">
        <v>710</v>
      </c>
      <c r="F24" s="7" t="s">
        <v>2446</v>
      </c>
      <c r="G24" s="10"/>
      <c r="H24" s="7" t="s">
        <v>2391</v>
      </c>
      <c r="I24" s="7" t="s">
        <v>2550</v>
      </c>
      <c r="J24" s="7" t="s">
        <v>2363</v>
      </c>
      <c r="K24" s="7" t="s">
        <v>2385</v>
      </c>
      <c r="L24" s="11" t="str">
        <f>HYPERLINK("http://slimages.macys.com/is/image/MCY/2075000 ")</f>
        <v xml:space="preserve">http://slimages.macys.com/is/image/MCY/2075000 </v>
      </c>
    </row>
    <row r="25" spans="1:12" ht="39.950000000000003" customHeight="1" x14ac:dyDescent="0.25">
      <c r="A25" s="6" t="s">
        <v>1660</v>
      </c>
      <c r="B25" s="7" t="s">
        <v>1661</v>
      </c>
      <c r="C25" s="8">
        <v>7</v>
      </c>
      <c r="D25" s="9">
        <v>223.93</v>
      </c>
      <c r="E25" s="8">
        <v>64100</v>
      </c>
      <c r="F25" s="7" t="s">
        <v>2355</v>
      </c>
      <c r="G25" s="10" t="s">
        <v>2539</v>
      </c>
      <c r="H25" s="7" t="s">
        <v>2407</v>
      </c>
      <c r="I25" s="7" t="s">
        <v>2542</v>
      </c>
      <c r="J25" s="7" t="s">
        <v>2363</v>
      </c>
      <c r="K25" s="7" t="s">
        <v>1662</v>
      </c>
      <c r="L25" s="11" t="str">
        <f>HYPERLINK("http://slimages.macys.com/is/image/MCY/13768152 ")</f>
        <v xml:space="preserve">http://slimages.macys.com/is/image/MCY/13768152 </v>
      </c>
    </row>
    <row r="26" spans="1:12" ht="39.950000000000003" customHeight="1" x14ac:dyDescent="0.25">
      <c r="A26" s="6" t="s">
        <v>272</v>
      </c>
      <c r="B26" s="7" t="s">
        <v>273</v>
      </c>
      <c r="C26" s="8">
        <v>1</v>
      </c>
      <c r="D26" s="9">
        <v>24.99</v>
      </c>
      <c r="E26" s="8" t="s">
        <v>274</v>
      </c>
      <c r="F26" s="7" t="s">
        <v>2368</v>
      </c>
      <c r="G26" s="10"/>
      <c r="H26" s="7" t="s">
        <v>2391</v>
      </c>
      <c r="I26" s="7" t="s">
        <v>2409</v>
      </c>
      <c r="J26" s="7" t="s">
        <v>2363</v>
      </c>
      <c r="K26" s="7"/>
      <c r="L26" s="11" t="str">
        <f>HYPERLINK("http://slimages.macys.com/is/image/MCY/10015220 ")</f>
        <v xml:space="preserve">http://slimages.macys.com/is/image/MCY/10015220 </v>
      </c>
    </row>
    <row r="27" spans="1:12" ht="39.950000000000003" customHeight="1" x14ac:dyDescent="0.25">
      <c r="A27" s="6" t="s">
        <v>275</v>
      </c>
      <c r="B27" s="7" t="s">
        <v>276</v>
      </c>
      <c r="C27" s="8">
        <v>2</v>
      </c>
      <c r="D27" s="9">
        <v>39.979999999999997</v>
      </c>
      <c r="E27" s="8" t="s">
        <v>277</v>
      </c>
      <c r="F27" s="7" t="s">
        <v>2558</v>
      </c>
      <c r="G27" s="10" t="s">
        <v>2450</v>
      </c>
      <c r="H27" s="7" t="s">
        <v>2391</v>
      </c>
      <c r="I27" s="7" t="s">
        <v>2409</v>
      </c>
      <c r="J27" s="7" t="s">
        <v>2363</v>
      </c>
      <c r="K27" s="7" t="s">
        <v>278</v>
      </c>
      <c r="L27" s="11" t="str">
        <f>HYPERLINK("http://slimages.macys.com/is/image/MCY/9613896 ")</f>
        <v xml:space="preserve">http://slimages.macys.com/is/image/MCY/9613896 </v>
      </c>
    </row>
    <row r="28" spans="1:12" ht="39.950000000000003" customHeight="1" x14ac:dyDescent="0.25">
      <c r="A28" s="6" t="s">
        <v>279</v>
      </c>
      <c r="B28" s="7" t="s">
        <v>280</v>
      </c>
      <c r="C28" s="8">
        <v>2</v>
      </c>
      <c r="D28" s="9">
        <v>55.98</v>
      </c>
      <c r="E28" s="8" t="s">
        <v>281</v>
      </c>
      <c r="F28" s="7" t="s">
        <v>2379</v>
      </c>
      <c r="G28" s="10"/>
      <c r="H28" s="7" t="s">
        <v>2391</v>
      </c>
      <c r="I28" s="7" t="s">
        <v>2409</v>
      </c>
      <c r="J28" s="7" t="s">
        <v>2363</v>
      </c>
      <c r="K28" s="7" t="s">
        <v>282</v>
      </c>
      <c r="L28" s="11" t="str">
        <f>HYPERLINK("http://slimages.macys.com/is/image/MCY/10112117 ")</f>
        <v xml:space="preserve">http://slimages.macys.com/is/image/MCY/10112117 </v>
      </c>
    </row>
    <row r="29" spans="1:12" ht="39.950000000000003" customHeight="1" x14ac:dyDescent="0.25">
      <c r="A29" s="6" t="s">
        <v>283</v>
      </c>
      <c r="B29" s="7" t="s">
        <v>284</v>
      </c>
      <c r="C29" s="8">
        <v>1</v>
      </c>
      <c r="D29" s="9">
        <v>37.99</v>
      </c>
      <c r="E29" s="8" t="s">
        <v>285</v>
      </c>
      <c r="F29" s="7" t="s">
        <v>2355</v>
      </c>
      <c r="G29" s="10" t="s">
        <v>2606</v>
      </c>
      <c r="H29" s="7" t="s">
        <v>2407</v>
      </c>
      <c r="I29" s="7" t="s">
        <v>2620</v>
      </c>
      <c r="J29" s="7" t="s">
        <v>2363</v>
      </c>
      <c r="K29" s="7" t="s">
        <v>2371</v>
      </c>
      <c r="L29" s="11" t="str">
        <f>HYPERLINK("http://slimages.macys.com/is/image/MCY/11798731 ")</f>
        <v xml:space="preserve">http://slimages.macys.com/is/image/MCY/11798731 </v>
      </c>
    </row>
    <row r="30" spans="1:12" ht="39.950000000000003" customHeight="1" x14ac:dyDescent="0.25">
      <c r="A30" s="6" t="s">
        <v>286</v>
      </c>
      <c r="B30" s="7" t="s">
        <v>287</v>
      </c>
      <c r="C30" s="8">
        <v>2</v>
      </c>
      <c r="D30" s="9">
        <v>59.98</v>
      </c>
      <c r="E30" s="8" t="s">
        <v>288</v>
      </c>
      <c r="F30" s="7" t="s">
        <v>2355</v>
      </c>
      <c r="G30" s="10" t="s">
        <v>822</v>
      </c>
      <c r="H30" s="7" t="s">
        <v>2391</v>
      </c>
      <c r="I30" s="7" t="s">
        <v>2926</v>
      </c>
      <c r="J30" s="7" t="s">
        <v>2363</v>
      </c>
      <c r="K30" s="7" t="s">
        <v>2371</v>
      </c>
      <c r="L30" s="11" t="str">
        <f>HYPERLINK("http://slimages.macys.com/is/image/MCY/12266198 ")</f>
        <v xml:space="preserve">http://slimages.macys.com/is/image/MCY/12266198 </v>
      </c>
    </row>
    <row r="31" spans="1:12" ht="39.950000000000003" customHeight="1" x14ac:dyDescent="0.25">
      <c r="A31" s="6" t="s">
        <v>289</v>
      </c>
      <c r="B31" s="7" t="s">
        <v>290</v>
      </c>
      <c r="C31" s="8">
        <v>1</v>
      </c>
      <c r="D31" s="9">
        <v>14.99</v>
      </c>
      <c r="E31" s="8">
        <v>46376</v>
      </c>
      <c r="F31" s="7" t="s">
        <v>2355</v>
      </c>
      <c r="G31" s="10"/>
      <c r="H31" s="7" t="s">
        <v>2391</v>
      </c>
      <c r="I31" s="7" t="s">
        <v>2456</v>
      </c>
      <c r="J31" s="7" t="s">
        <v>2363</v>
      </c>
      <c r="K31" s="7" t="s">
        <v>2385</v>
      </c>
      <c r="L31" s="11" t="str">
        <f>HYPERLINK("http://slimages.macys.com/is/image/MCY/2956989 ")</f>
        <v xml:space="preserve">http://slimages.macys.com/is/image/MCY/2956989 </v>
      </c>
    </row>
    <row r="32" spans="1:12" ht="39.950000000000003" customHeight="1" x14ac:dyDescent="0.25">
      <c r="A32" s="6" t="s">
        <v>291</v>
      </c>
      <c r="B32" s="7" t="s">
        <v>292</v>
      </c>
      <c r="C32" s="8">
        <v>21</v>
      </c>
      <c r="D32" s="9">
        <v>315</v>
      </c>
      <c r="E32" s="8" t="s">
        <v>293</v>
      </c>
      <c r="F32" s="7" t="s">
        <v>2512</v>
      </c>
      <c r="G32" s="10" t="s">
        <v>2469</v>
      </c>
      <c r="H32" s="7" t="s">
        <v>2420</v>
      </c>
      <c r="I32" s="7" t="s">
        <v>267</v>
      </c>
      <c r="J32" s="7" t="s">
        <v>2496</v>
      </c>
      <c r="K32" s="7" t="s">
        <v>294</v>
      </c>
      <c r="L32" s="11" t="str">
        <f>HYPERLINK("http://images.bloomingdales.com/is/image/BLM/9741364 ")</f>
        <v xml:space="preserve">http://images.bloomingdales.com/is/image/BLM/9741364 </v>
      </c>
    </row>
    <row r="33" spans="1:12" ht="39.950000000000003" customHeight="1" x14ac:dyDescent="0.25">
      <c r="A33" s="6" t="s">
        <v>295</v>
      </c>
      <c r="B33" s="7" t="s">
        <v>296</v>
      </c>
      <c r="C33" s="8">
        <v>2</v>
      </c>
      <c r="D33" s="9">
        <v>29.98</v>
      </c>
      <c r="E33" s="8" t="s">
        <v>297</v>
      </c>
      <c r="F33" s="7" t="s">
        <v>2436</v>
      </c>
      <c r="G33" s="10" t="s">
        <v>298</v>
      </c>
      <c r="H33" s="7" t="s">
        <v>2391</v>
      </c>
      <c r="I33" s="7" t="s">
        <v>2528</v>
      </c>
      <c r="J33" s="7" t="s">
        <v>2363</v>
      </c>
      <c r="K33" s="7" t="s">
        <v>2389</v>
      </c>
      <c r="L33" s="11" t="str">
        <f>HYPERLINK("http://slimages.macys.com/is/image/MCY/343290 ")</f>
        <v xml:space="preserve">http://slimages.macys.com/is/image/MCY/343290 </v>
      </c>
    </row>
    <row r="34" spans="1:12" ht="39.950000000000003" customHeight="1" x14ac:dyDescent="0.25">
      <c r="A34" s="6" t="s">
        <v>299</v>
      </c>
      <c r="B34" s="7" t="s">
        <v>300</v>
      </c>
      <c r="C34" s="8">
        <v>1</v>
      </c>
      <c r="D34" s="9">
        <v>22.99</v>
      </c>
      <c r="E34" s="8" t="s">
        <v>301</v>
      </c>
      <c r="F34" s="7" t="s">
        <v>2355</v>
      </c>
      <c r="G34" s="10"/>
      <c r="H34" s="7" t="s">
        <v>2391</v>
      </c>
      <c r="I34" s="7" t="s">
        <v>2926</v>
      </c>
      <c r="J34" s="7" t="s">
        <v>2363</v>
      </c>
      <c r="K34" s="7" t="s">
        <v>2405</v>
      </c>
      <c r="L34" s="11" t="str">
        <f>HYPERLINK("http://slimages.macys.com/is/image/MCY/15863002 ")</f>
        <v xml:space="preserve">http://slimages.macys.com/is/image/MCY/15863002 </v>
      </c>
    </row>
    <row r="35" spans="1:12" ht="39.950000000000003" customHeight="1" x14ac:dyDescent="0.25">
      <c r="A35" s="6" t="s">
        <v>302</v>
      </c>
      <c r="B35" s="7" t="s">
        <v>303</v>
      </c>
      <c r="C35" s="8">
        <v>1</v>
      </c>
      <c r="D35" s="9">
        <v>14.99</v>
      </c>
      <c r="E35" s="8" t="s">
        <v>304</v>
      </c>
      <c r="F35" s="7" t="s">
        <v>2355</v>
      </c>
      <c r="G35" s="10" t="s">
        <v>305</v>
      </c>
      <c r="H35" s="7" t="s">
        <v>2391</v>
      </c>
      <c r="I35" s="7" t="s">
        <v>2528</v>
      </c>
      <c r="J35" s="7" t="s">
        <v>2363</v>
      </c>
      <c r="K35" s="7" t="s">
        <v>2389</v>
      </c>
      <c r="L35" s="11" t="str">
        <f>HYPERLINK("http://slimages.macys.com/is/image/MCY/343290 ")</f>
        <v xml:space="preserve">http://slimages.macys.com/is/image/MCY/343290 </v>
      </c>
    </row>
    <row r="36" spans="1:12" ht="39.950000000000003" customHeight="1" x14ac:dyDescent="0.25">
      <c r="A36" s="6" t="s">
        <v>306</v>
      </c>
      <c r="B36" s="7" t="s">
        <v>307</v>
      </c>
      <c r="C36" s="8">
        <v>2</v>
      </c>
      <c r="D36" s="9">
        <v>29.98</v>
      </c>
      <c r="E36" s="8" t="s">
        <v>308</v>
      </c>
      <c r="F36" s="7" t="s">
        <v>2355</v>
      </c>
      <c r="G36" s="10"/>
      <c r="H36" s="7" t="s">
        <v>2407</v>
      </c>
      <c r="I36" s="7" t="s">
        <v>2748</v>
      </c>
      <c r="J36" s="7" t="s">
        <v>2363</v>
      </c>
      <c r="K36" s="7" t="s">
        <v>309</v>
      </c>
      <c r="L36" s="11" t="str">
        <f>HYPERLINK("http://slimages.macys.com/is/image/MCY/15720071 ")</f>
        <v xml:space="preserve">http://slimages.macys.com/is/image/MCY/15720071 </v>
      </c>
    </row>
    <row r="37" spans="1:12" ht="39.950000000000003" customHeight="1" x14ac:dyDescent="0.25">
      <c r="A37" s="6" t="s">
        <v>310</v>
      </c>
      <c r="B37" s="7" t="s">
        <v>311</v>
      </c>
      <c r="C37" s="8">
        <v>2</v>
      </c>
      <c r="D37" s="9">
        <v>23.98</v>
      </c>
      <c r="E37" s="8" t="s">
        <v>312</v>
      </c>
      <c r="F37" s="7" t="s">
        <v>2495</v>
      </c>
      <c r="G37" s="10"/>
      <c r="H37" s="7" t="s">
        <v>2391</v>
      </c>
      <c r="I37" s="7" t="s">
        <v>2550</v>
      </c>
      <c r="J37" s="7" t="s">
        <v>2363</v>
      </c>
      <c r="K37" s="7" t="s">
        <v>2385</v>
      </c>
      <c r="L37" s="11" t="str">
        <f>HYPERLINK("http://slimages.macys.com/is/image/MCY/935272 ")</f>
        <v xml:space="preserve">http://slimages.macys.com/is/image/MCY/935272 </v>
      </c>
    </row>
    <row r="38" spans="1:12" ht="39.950000000000003" customHeight="1" x14ac:dyDescent="0.25">
      <c r="A38" s="6" t="s">
        <v>871</v>
      </c>
      <c r="B38" s="7" t="s">
        <v>872</v>
      </c>
      <c r="C38" s="8">
        <v>1</v>
      </c>
      <c r="D38" s="9">
        <v>11.99</v>
      </c>
      <c r="E38" s="8" t="s">
        <v>873</v>
      </c>
      <c r="F38" s="7" t="s">
        <v>2355</v>
      </c>
      <c r="G38" s="10"/>
      <c r="H38" s="7" t="s">
        <v>2391</v>
      </c>
      <c r="I38" s="7" t="s">
        <v>2550</v>
      </c>
      <c r="J38" s="7" t="s">
        <v>2363</v>
      </c>
      <c r="K38" s="7" t="s">
        <v>2385</v>
      </c>
      <c r="L38" s="11" t="str">
        <f>HYPERLINK("http://slimages.macys.com/is/image/MCY/935272 ")</f>
        <v xml:space="preserve">http://slimages.macys.com/is/image/MCY/935272 </v>
      </c>
    </row>
    <row r="39" spans="1:12" ht="39.950000000000003" customHeight="1" x14ac:dyDescent="0.25">
      <c r="A39" s="6" t="s">
        <v>313</v>
      </c>
      <c r="B39" s="7" t="s">
        <v>314</v>
      </c>
      <c r="C39" s="8">
        <v>4</v>
      </c>
      <c r="D39" s="9">
        <v>39.96</v>
      </c>
      <c r="E39" s="8" t="s">
        <v>315</v>
      </c>
      <c r="F39" s="7" t="s">
        <v>2495</v>
      </c>
      <c r="G39" s="10" t="s">
        <v>2464</v>
      </c>
      <c r="H39" s="7" t="s">
        <v>2532</v>
      </c>
      <c r="I39" s="7" t="s">
        <v>2465</v>
      </c>
      <c r="J39" s="7" t="s">
        <v>2363</v>
      </c>
      <c r="K39" s="7" t="s">
        <v>2389</v>
      </c>
      <c r="L39" s="11" t="str">
        <f>HYPERLINK("http://slimages.macys.com/is/image/MCY/1426090 ")</f>
        <v xml:space="preserve">http://slimages.macys.com/is/image/MCY/1426090 </v>
      </c>
    </row>
    <row r="40" spans="1:12" ht="39.950000000000003" customHeight="1" x14ac:dyDescent="0.25">
      <c r="A40" s="6" t="s">
        <v>316</v>
      </c>
      <c r="B40" s="7" t="s">
        <v>317</v>
      </c>
      <c r="C40" s="8">
        <v>1</v>
      </c>
      <c r="D40" s="9">
        <v>29.99</v>
      </c>
      <c r="E40" s="8" t="s">
        <v>318</v>
      </c>
      <c r="F40" s="7" t="s">
        <v>2477</v>
      </c>
      <c r="G40" s="10"/>
      <c r="H40" s="7" t="s">
        <v>2369</v>
      </c>
      <c r="I40" s="7" t="s">
        <v>2418</v>
      </c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  <row r="57" spans="1:12" ht="39.950000000000003" customHeight="1" x14ac:dyDescent="0.25">
      <c r="A57" s="6"/>
      <c r="B57" s="7"/>
      <c r="C57" s="8"/>
      <c r="D57" s="9"/>
      <c r="E57" s="8"/>
      <c r="F57" s="7"/>
      <c r="G57" s="10"/>
      <c r="H57" s="7"/>
      <c r="I57" s="7"/>
      <c r="J57" s="7"/>
      <c r="K57" s="7"/>
      <c r="L57" s="11"/>
    </row>
    <row r="58" spans="1:12" ht="39.950000000000003" customHeight="1" x14ac:dyDescent="0.25">
      <c r="A58" s="6"/>
      <c r="B58" s="7"/>
      <c r="C58" s="8"/>
      <c r="D58" s="9"/>
      <c r="E58" s="8"/>
      <c r="F58" s="7"/>
      <c r="G58" s="10"/>
      <c r="H58" s="7"/>
      <c r="I58" s="7"/>
      <c r="J58" s="7"/>
      <c r="K58" s="7"/>
      <c r="L58" s="11"/>
    </row>
  </sheetData>
  <phoneticPr fontId="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57"/>
  <sheetViews>
    <sheetView workbookViewId="0">
      <selection activeCell="B44" sqref="B44"/>
    </sheetView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2350</v>
      </c>
      <c r="I1" s="5" t="s">
        <v>2351</v>
      </c>
      <c r="J1" s="5" t="s">
        <v>2352</v>
      </c>
      <c r="K1" s="5" t="s">
        <v>2353</v>
      </c>
      <c r="L1" s="5" t="s">
        <v>2354</v>
      </c>
    </row>
    <row r="2" spans="1:12" ht="39.950000000000003" customHeight="1" x14ac:dyDescent="0.25">
      <c r="A2" s="6" t="s">
        <v>319</v>
      </c>
      <c r="B2" s="7" t="s">
        <v>320</v>
      </c>
      <c r="C2" s="8">
        <v>1</v>
      </c>
      <c r="D2" s="9">
        <v>244.99</v>
      </c>
      <c r="E2" s="8" t="s">
        <v>321</v>
      </c>
      <c r="F2" s="7" t="s">
        <v>2368</v>
      </c>
      <c r="G2" s="10"/>
      <c r="H2" s="7" t="s">
        <v>2369</v>
      </c>
      <c r="I2" s="7" t="s">
        <v>2409</v>
      </c>
      <c r="J2" s="7" t="s">
        <v>2363</v>
      </c>
      <c r="K2" s="7" t="s">
        <v>605</v>
      </c>
      <c r="L2" s="11" t="str">
        <f>HYPERLINK("http://slimages.macys.com/is/image/MCY/9566733 ")</f>
        <v xml:space="preserve">http://slimages.macys.com/is/image/MCY/9566733 </v>
      </c>
    </row>
    <row r="3" spans="1:12" ht="39.950000000000003" customHeight="1" x14ac:dyDescent="0.25">
      <c r="A3" s="6" t="s">
        <v>2359</v>
      </c>
      <c r="B3" s="7" t="s">
        <v>2360</v>
      </c>
      <c r="C3" s="8">
        <v>1</v>
      </c>
      <c r="D3" s="9">
        <v>199</v>
      </c>
      <c r="E3" s="8" t="s">
        <v>2361</v>
      </c>
      <c r="F3" s="7" t="s">
        <v>2362</v>
      </c>
      <c r="G3" s="10"/>
      <c r="H3" s="7" t="s">
        <v>2357</v>
      </c>
      <c r="I3" s="7" t="s">
        <v>2358</v>
      </c>
      <c r="J3" s="7" t="s">
        <v>2363</v>
      </c>
      <c r="K3" s="7"/>
      <c r="L3" s="11" t="str">
        <f>HYPERLINK("http://slimages.macys.com/is/image/MCY/9619526 ")</f>
        <v xml:space="preserve">http://slimages.macys.com/is/image/MCY/9619526 </v>
      </c>
    </row>
    <row r="4" spans="1:12" ht="39.950000000000003" customHeight="1" x14ac:dyDescent="0.25">
      <c r="A4" s="6" t="s">
        <v>2364</v>
      </c>
      <c r="B4" s="7" t="s">
        <v>2365</v>
      </c>
      <c r="C4" s="8">
        <v>1</v>
      </c>
      <c r="D4" s="9">
        <v>199.99</v>
      </c>
      <c r="E4" s="8" t="s">
        <v>2366</v>
      </c>
      <c r="F4" s="7" t="s">
        <v>2362</v>
      </c>
      <c r="G4" s="10"/>
      <c r="H4" s="7" t="s">
        <v>2357</v>
      </c>
      <c r="I4" s="7" t="s">
        <v>2358</v>
      </c>
      <c r="J4" s="7" t="s">
        <v>2363</v>
      </c>
      <c r="K4" s="7" t="s">
        <v>2367</v>
      </c>
      <c r="L4" s="11" t="str">
        <f>HYPERLINK("http://slimages.macys.com/is/image/MCY/9619531 ")</f>
        <v xml:space="preserve">http://slimages.macys.com/is/image/MCY/9619531 </v>
      </c>
    </row>
    <row r="5" spans="1:12" ht="39.950000000000003" customHeight="1" x14ac:dyDescent="0.25">
      <c r="A5" s="6" t="s">
        <v>322</v>
      </c>
      <c r="B5" s="7" t="s">
        <v>323</v>
      </c>
      <c r="C5" s="8">
        <v>1</v>
      </c>
      <c r="D5" s="9">
        <v>219.99</v>
      </c>
      <c r="E5" s="8" t="s">
        <v>324</v>
      </c>
      <c r="F5" s="7" t="s">
        <v>2481</v>
      </c>
      <c r="G5" s="10"/>
      <c r="H5" s="7" t="s">
        <v>2369</v>
      </c>
      <c r="I5" s="7" t="s">
        <v>2409</v>
      </c>
      <c r="J5" s="7" t="s">
        <v>2363</v>
      </c>
      <c r="K5" s="7" t="s">
        <v>325</v>
      </c>
      <c r="L5" s="11" t="str">
        <f>HYPERLINK("http://slimages.macys.com/is/image/MCY/9536375 ")</f>
        <v xml:space="preserve">http://slimages.macys.com/is/image/MCY/9536375 </v>
      </c>
    </row>
    <row r="6" spans="1:12" ht="39.950000000000003" customHeight="1" x14ac:dyDescent="0.25">
      <c r="A6" s="6" t="s">
        <v>326</v>
      </c>
      <c r="B6" s="7" t="s">
        <v>327</v>
      </c>
      <c r="C6" s="8">
        <v>1</v>
      </c>
      <c r="D6" s="9">
        <v>183.99</v>
      </c>
      <c r="E6" s="8" t="s">
        <v>328</v>
      </c>
      <c r="F6" s="7" t="s">
        <v>2399</v>
      </c>
      <c r="G6" s="10"/>
      <c r="H6" s="7" t="s">
        <v>2383</v>
      </c>
      <c r="I6" s="7" t="s">
        <v>2569</v>
      </c>
      <c r="J6" s="7" t="s">
        <v>2363</v>
      </c>
      <c r="K6" s="7" t="s">
        <v>329</v>
      </c>
      <c r="L6" s="11" t="str">
        <f>HYPERLINK("http://slimages.macys.com/is/image/MCY/16844869 ")</f>
        <v xml:space="preserve">http://slimages.macys.com/is/image/MCY/16844869 </v>
      </c>
    </row>
    <row r="7" spans="1:12" ht="39.950000000000003" customHeight="1" x14ac:dyDescent="0.25">
      <c r="A7" s="6" t="s">
        <v>330</v>
      </c>
      <c r="B7" s="7" t="s">
        <v>331</v>
      </c>
      <c r="C7" s="8">
        <v>1</v>
      </c>
      <c r="D7" s="9">
        <v>131.99</v>
      </c>
      <c r="E7" s="8" t="s">
        <v>332</v>
      </c>
      <c r="F7" s="7" t="s">
        <v>2355</v>
      </c>
      <c r="G7" s="10" t="s">
        <v>2554</v>
      </c>
      <c r="H7" s="7" t="s">
        <v>2407</v>
      </c>
      <c r="I7" s="7" t="s">
        <v>1140</v>
      </c>
      <c r="J7" s="7" t="s">
        <v>2363</v>
      </c>
      <c r="K7" s="7" t="s">
        <v>333</v>
      </c>
      <c r="L7" s="11" t="str">
        <f>HYPERLINK("http://slimages.macys.com/is/image/MCY/14925548 ")</f>
        <v xml:space="preserve">http://slimages.macys.com/is/image/MCY/14925548 </v>
      </c>
    </row>
    <row r="8" spans="1:12" ht="39.950000000000003" customHeight="1" x14ac:dyDescent="0.25">
      <c r="A8" s="6" t="s">
        <v>334</v>
      </c>
      <c r="B8" s="7" t="s">
        <v>335</v>
      </c>
      <c r="C8" s="8">
        <v>1</v>
      </c>
      <c r="D8" s="9">
        <v>125.99</v>
      </c>
      <c r="E8" s="8" t="s">
        <v>336</v>
      </c>
      <c r="F8" s="7" t="s">
        <v>2567</v>
      </c>
      <c r="G8" s="10"/>
      <c r="H8" s="7" t="s">
        <v>2369</v>
      </c>
      <c r="I8" s="7" t="s">
        <v>2409</v>
      </c>
      <c r="J8" s="7" t="s">
        <v>2363</v>
      </c>
      <c r="K8" s="7" t="s">
        <v>756</v>
      </c>
      <c r="L8" s="11" t="str">
        <f>HYPERLINK("http://slimages.macys.com/is/image/MCY/9798733 ")</f>
        <v xml:space="preserve">http://slimages.macys.com/is/image/MCY/9798733 </v>
      </c>
    </row>
    <row r="9" spans="1:12" ht="39.950000000000003" customHeight="1" x14ac:dyDescent="0.25">
      <c r="A9" s="6" t="s">
        <v>337</v>
      </c>
      <c r="B9" s="7" t="s">
        <v>338</v>
      </c>
      <c r="C9" s="8">
        <v>1</v>
      </c>
      <c r="D9" s="9">
        <v>99.99</v>
      </c>
      <c r="E9" s="8" t="s">
        <v>339</v>
      </c>
      <c r="F9" s="7" t="s">
        <v>2436</v>
      </c>
      <c r="G9" s="10" t="s">
        <v>2596</v>
      </c>
      <c r="H9" s="7" t="s">
        <v>2357</v>
      </c>
      <c r="I9" s="7" t="s">
        <v>2358</v>
      </c>
      <c r="J9" s="7" t="s">
        <v>2363</v>
      </c>
      <c r="K9" s="7" t="s">
        <v>251</v>
      </c>
      <c r="L9" s="11" t="str">
        <f>HYPERLINK("http://slimages.macys.com/is/image/MCY/9698682 ")</f>
        <v xml:space="preserve">http://slimages.macys.com/is/image/MCY/9698682 </v>
      </c>
    </row>
    <row r="10" spans="1:12" ht="39.950000000000003" customHeight="1" x14ac:dyDescent="0.25">
      <c r="A10" s="6" t="s">
        <v>340</v>
      </c>
      <c r="B10" s="7" t="s">
        <v>341</v>
      </c>
      <c r="C10" s="8">
        <v>1</v>
      </c>
      <c r="D10" s="9">
        <v>119.99</v>
      </c>
      <c r="E10" s="8" t="s">
        <v>342</v>
      </c>
      <c r="F10" s="7" t="s">
        <v>2379</v>
      </c>
      <c r="G10" s="10"/>
      <c r="H10" s="7" t="s">
        <v>2369</v>
      </c>
      <c r="I10" s="7" t="s">
        <v>2409</v>
      </c>
      <c r="J10" s="7" t="s">
        <v>2363</v>
      </c>
      <c r="K10" s="7" t="s">
        <v>343</v>
      </c>
      <c r="L10" s="11" t="str">
        <f>HYPERLINK("http://slimages.macys.com/is/image/MCY/9627815 ")</f>
        <v xml:space="preserve">http://slimages.macys.com/is/image/MCY/9627815 </v>
      </c>
    </row>
    <row r="11" spans="1:12" ht="39.950000000000003" customHeight="1" x14ac:dyDescent="0.25">
      <c r="A11" s="6" t="s">
        <v>344</v>
      </c>
      <c r="B11" s="7" t="s">
        <v>345</v>
      </c>
      <c r="C11" s="8">
        <v>1</v>
      </c>
      <c r="D11" s="9">
        <v>119</v>
      </c>
      <c r="E11" s="8">
        <v>10006206400</v>
      </c>
      <c r="F11" s="7" t="s">
        <v>2399</v>
      </c>
      <c r="G11" s="10"/>
      <c r="H11" s="7" t="s">
        <v>2729</v>
      </c>
      <c r="I11" s="7" t="s">
        <v>2730</v>
      </c>
      <c r="J11" s="7" t="s">
        <v>2363</v>
      </c>
      <c r="K11" s="7" t="s">
        <v>2389</v>
      </c>
      <c r="L11" s="11" t="str">
        <f>HYPERLINK("http://slimages.macys.com/is/image/MCY/15420368 ")</f>
        <v xml:space="preserve">http://slimages.macys.com/is/image/MCY/15420368 </v>
      </c>
    </row>
    <row r="12" spans="1:12" ht="39.950000000000003" customHeight="1" x14ac:dyDescent="0.25">
      <c r="A12" s="6" t="s">
        <v>346</v>
      </c>
      <c r="B12" s="7" t="s">
        <v>347</v>
      </c>
      <c r="C12" s="8">
        <v>1</v>
      </c>
      <c r="D12" s="9">
        <v>79</v>
      </c>
      <c r="E12" s="8" t="s">
        <v>348</v>
      </c>
      <c r="F12" s="7" t="s">
        <v>2436</v>
      </c>
      <c r="G12" s="10"/>
      <c r="H12" s="7" t="s">
        <v>2357</v>
      </c>
      <c r="I12" s="7" t="s">
        <v>2358</v>
      </c>
      <c r="J12" s="7" t="s">
        <v>2363</v>
      </c>
      <c r="K12" s="7" t="s">
        <v>349</v>
      </c>
      <c r="L12" s="11" t="str">
        <f>HYPERLINK("http://slimages.macys.com/is/image/MCY/9706178 ")</f>
        <v xml:space="preserve">http://slimages.macys.com/is/image/MCY/9706178 </v>
      </c>
    </row>
    <row r="13" spans="1:12" ht="39.950000000000003" customHeight="1" x14ac:dyDescent="0.25">
      <c r="A13" s="6" t="s">
        <v>350</v>
      </c>
      <c r="B13" s="7" t="s">
        <v>351</v>
      </c>
      <c r="C13" s="8">
        <v>1</v>
      </c>
      <c r="D13" s="9">
        <v>79.989999999999995</v>
      </c>
      <c r="E13" s="8" t="s">
        <v>352</v>
      </c>
      <c r="F13" s="7" t="s">
        <v>2381</v>
      </c>
      <c r="G13" s="10"/>
      <c r="H13" s="7" t="s">
        <v>2432</v>
      </c>
      <c r="I13" s="7" t="s">
        <v>2825</v>
      </c>
      <c r="J13" s="7" t="s">
        <v>2363</v>
      </c>
      <c r="K13" s="7"/>
      <c r="L13" s="11" t="str">
        <f>HYPERLINK("http://slimages.macys.com/is/image/MCY/9853529 ")</f>
        <v xml:space="preserve">http://slimages.macys.com/is/image/MCY/9853529 </v>
      </c>
    </row>
    <row r="14" spans="1:12" ht="39.950000000000003" customHeight="1" x14ac:dyDescent="0.25">
      <c r="A14" s="6" t="s">
        <v>1035</v>
      </c>
      <c r="B14" s="7" t="s">
        <v>1036</v>
      </c>
      <c r="C14" s="8">
        <v>1</v>
      </c>
      <c r="D14" s="9">
        <v>49.99</v>
      </c>
      <c r="E14" s="8" t="s">
        <v>1037</v>
      </c>
      <c r="F14" s="7" t="s">
        <v>2368</v>
      </c>
      <c r="G14" s="10"/>
      <c r="H14" s="7" t="s">
        <v>2432</v>
      </c>
      <c r="I14" s="7" t="s">
        <v>2433</v>
      </c>
      <c r="J14" s="7" t="s">
        <v>2363</v>
      </c>
      <c r="K14" s="7" t="s">
        <v>2402</v>
      </c>
      <c r="L14" s="11" t="str">
        <f>HYPERLINK("http://slimages.macys.com/is/image/MCY/10342310 ")</f>
        <v xml:space="preserve">http://slimages.macys.com/is/image/MCY/10342310 </v>
      </c>
    </row>
    <row r="15" spans="1:12" ht="39.950000000000003" customHeight="1" x14ac:dyDescent="0.25">
      <c r="A15" s="6" t="s">
        <v>353</v>
      </c>
      <c r="B15" s="7" t="s">
        <v>354</v>
      </c>
      <c r="C15" s="8">
        <v>1</v>
      </c>
      <c r="D15" s="9">
        <v>77.989999999999995</v>
      </c>
      <c r="E15" s="8" t="s">
        <v>355</v>
      </c>
      <c r="F15" s="7" t="s">
        <v>2379</v>
      </c>
      <c r="G15" s="10"/>
      <c r="H15" s="7" t="s">
        <v>2369</v>
      </c>
      <c r="I15" s="7" t="s">
        <v>2409</v>
      </c>
      <c r="J15" s="7" t="s">
        <v>2363</v>
      </c>
      <c r="K15" s="7" t="s">
        <v>2908</v>
      </c>
      <c r="L15" s="11" t="str">
        <f>HYPERLINK("http://slimages.macys.com/is/image/MCY/9767718 ")</f>
        <v xml:space="preserve">http://slimages.macys.com/is/image/MCY/9767718 </v>
      </c>
    </row>
    <row r="16" spans="1:12" ht="39.950000000000003" customHeight="1" x14ac:dyDescent="0.25">
      <c r="A16" s="6" t="s">
        <v>356</v>
      </c>
      <c r="B16" s="7" t="s">
        <v>357</v>
      </c>
      <c r="C16" s="8">
        <v>1</v>
      </c>
      <c r="D16" s="9">
        <v>89.99</v>
      </c>
      <c r="E16" s="8" t="s">
        <v>358</v>
      </c>
      <c r="F16" s="7" t="s">
        <v>2514</v>
      </c>
      <c r="G16" s="10"/>
      <c r="H16" s="7" t="s">
        <v>2535</v>
      </c>
      <c r="I16" s="7" t="s">
        <v>2388</v>
      </c>
      <c r="J16" s="7" t="s">
        <v>2363</v>
      </c>
      <c r="K16" s="7" t="s">
        <v>2927</v>
      </c>
      <c r="L16" s="11" t="str">
        <f>HYPERLINK("http://slimages.macys.com/is/image/MCY/8935615 ")</f>
        <v xml:space="preserve">http://slimages.macys.com/is/image/MCY/8935615 </v>
      </c>
    </row>
    <row r="17" spans="1:12" ht="39.950000000000003" customHeight="1" x14ac:dyDescent="0.25">
      <c r="A17" s="6" t="s">
        <v>359</v>
      </c>
      <c r="B17" s="7" t="s">
        <v>357</v>
      </c>
      <c r="C17" s="8">
        <v>1</v>
      </c>
      <c r="D17" s="9">
        <v>89.99</v>
      </c>
      <c r="E17" s="8" t="s">
        <v>360</v>
      </c>
      <c r="F17" s="7"/>
      <c r="G17" s="10"/>
      <c r="H17" s="7" t="s">
        <v>2535</v>
      </c>
      <c r="I17" s="7" t="s">
        <v>2388</v>
      </c>
      <c r="J17" s="7" t="s">
        <v>2363</v>
      </c>
      <c r="K17" s="7" t="s">
        <v>2927</v>
      </c>
      <c r="L17" s="11" t="str">
        <f>HYPERLINK("http://slimages.macys.com/is/image/MCY/8935615 ")</f>
        <v xml:space="preserve">http://slimages.macys.com/is/image/MCY/8935615 </v>
      </c>
    </row>
    <row r="18" spans="1:12" ht="39.950000000000003" customHeight="1" x14ac:dyDescent="0.25">
      <c r="A18" s="6" t="s">
        <v>361</v>
      </c>
      <c r="B18" s="7" t="s">
        <v>362</v>
      </c>
      <c r="C18" s="8">
        <v>1</v>
      </c>
      <c r="D18" s="9">
        <v>59.99</v>
      </c>
      <c r="E18" s="8" t="s">
        <v>363</v>
      </c>
      <c r="F18" s="7" t="s">
        <v>2424</v>
      </c>
      <c r="G18" s="10" t="s">
        <v>2415</v>
      </c>
      <c r="H18" s="7" t="s">
        <v>2422</v>
      </c>
      <c r="I18" s="7" t="s">
        <v>2526</v>
      </c>
      <c r="J18" s="7" t="s">
        <v>2363</v>
      </c>
      <c r="K18" s="7" t="s">
        <v>364</v>
      </c>
      <c r="L18" s="11" t="str">
        <f>HYPERLINK("http://slimages.macys.com/is/image/MCY/8289253 ")</f>
        <v xml:space="preserve">http://slimages.macys.com/is/image/MCY/8289253 </v>
      </c>
    </row>
    <row r="19" spans="1:12" ht="39.950000000000003" customHeight="1" x14ac:dyDescent="0.25">
      <c r="A19" s="6" t="s">
        <v>1166</v>
      </c>
      <c r="B19" s="7" t="s">
        <v>1167</v>
      </c>
      <c r="C19" s="8">
        <v>1</v>
      </c>
      <c r="D19" s="9">
        <v>69.989999999999995</v>
      </c>
      <c r="E19" s="8" t="s">
        <v>1168</v>
      </c>
      <c r="F19" s="7" t="s">
        <v>2386</v>
      </c>
      <c r="G19" s="10"/>
      <c r="H19" s="7" t="s">
        <v>2383</v>
      </c>
      <c r="I19" s="7" t="s">
        <v>2384</v>
      </c>
      <c r="J19" s="7" t="s">
        <v>2363</v>
      </c>
      <c r="K19" s="7"/>
      <c r="L19" s="11" t="str">
        <f>HYPERLINK("http://slimages.macys.com/is/image/MCY/9353166 ")</f>
        <v xml:space="preserve">http://slimages.macys.com/is/image/MCY/9353166 </v>
      </c>
    </row>
    <row r="20" spans="1:12" ht="39.950000000000003" customHeight="1" x14ac:dyDescent="0.25">
      <c r="A20" s="6" t="s">
        <v>2909</v>
      </c>
      <c r="B20" s="7" t="s">
        <v>2910</v>
      </c>
      <c r="C20" s="8">
        <v>5</v>
      </c>
      <c r="D20" s="9">
        <v>399.95</v>
      </c>
      <c r="E20" s="8" t="s">
        <v>2911</v>
      </c>
      <c r="F20" s="7" t="s">
        <v>2362</v>
      </c>
      <c r="G20" s="10"/>
      <c r="H20" s="7" t="s">
        <v>2357</v>
      </c>
      <c r="I20" s="7" t="s">
        <v>2358</v>
      </c>
      <c r="J20" s="7" t="s">
        <v>2363</v>
      </c>
      <c r="K20" s="7" t="s">
        <v>2367</v>
      </c>
      <c r="L20" s="11" t="str">
        <f>HYPERLINK("http://slimages.macys.com/is/image/MCY/9621143 ")</f>
        <v xml:space="preserve">http://slimages.macys.com/is/image/MCY/9621143 </v>
      </c>
    </row>
    <row r="21" spans="1:12" ht="39.950000000000003" customHeight="1" x14ac:dyDescent="0.25">
      <c r="A21" s="6" t="s">
        <v>240</v>
      </c>
      <c r="B21" s="7" t="s">
        <v>241</v>
      </c>
      <c r="C21" s="8">
        <v>1</v>
      </c>
      <c r="D21" s="9">
        <v>79.989999999999995</v>
      </c>
      <c r="E21" s="8" t="s">
        <v>242</v>
      </c>
      <c r="F21" s="7" t="s">
        <v>2362</v>
      </c>
      <c r="G21" s="10"/>
      <c r="H21" s="7" t="s">
        <v>2357</v>
      </c>
      <c r="I21" s="7" t="s">
        <v>2358</v>
      </c>
      <c r="J21" s="7" t="s">
        <v>2363</v>
      </c>
      <c r="K21" s="7"/>
      <c r="L21" s="11" t="str">
        <f>HYPERLINK("http://slimages.macys.com/is/image/MCY/9621146 ")</f>
        <v xml:space="preserve">http://slimages.macys.com/is/image/MCY/9621146 </v>
      </c>
    </row>
    <row r="22" spans="1:12" ht="39.950000000000003" customHeight="1" x14ac:dyDescent="0.25">
      <c r="A22" s="6" t="s">
        <v>2706</v>
      </c>
      <c r="B22" s="7" t="s">
        <v>2707</v>
      </c>
      <c r="C22" s="8">
        <v>2</v>
      </c>
      <c r="D22" s="9">
        <v>159.97999999999999</v>
      </c>
      <c r="E22" s="8" t="s">
        <v>2708</v>
      </c>
      <c r="F22" s="7" t="s">
        <v>2362</v>
      </c>
      <c r="G22" s="10"/>
      <c r="H22" s="7" t="s">
        <v>2357</v>
      </c>
      <c r="I22" s="7" t="s">
        <v>2358</v>
      </c>
      <c r="J22" s="7" t="s">
        <v>2363</v>
      </c>
      <c r="K22" s="7"/>
      <c r="L22" s="11" t="str">
        <f>HYPERLINK("http://slimages.macys.com/is/image/MCY/9621144 ")</f>
        <v xml:space="preserve">http://slimages.macys.com/is/image/MCY/9621144 </v>
      </c>
    </row>
    <row r="23" spans="1:12" ht="39.950000000000003" customHeight="1" x14ac:dyDescent="0.25">
      <c r="A23" s="6" t="s">
        <v>1169</v>
      </c>
      <c r="B23" s="7" t="s">
        <v>1170</v>
      </c>
      <c r="C23" s="8">
        <v>2</v>
      </c>
      <c r="D23" s="9">
        <v>119.98</v>
      </c>
      <c r="E23" s="8" t="s">
        <v>1171</v>
      </c>
      <c r="F23" s="7" t="s">
        <v>2368</v>
      </c>
      <c r="G23" s="10"/>
      <c r="H23" s="7" t="s">
        <v>2432</v>
      </c>
      <c r="I23" s="7" t="s">
        <v>2433</v>
      </c>
      <c r="J23" s="7" t="s">
        <v>2363</v>
      </c>
      <c r="K23" s="7" t="s">
        <v>2389</v>
      </c>
      <c r="L23" s="11" t="str">
        <f>HYPERLINK("http://slimages.macys.com/is/image/MCY/10672584 ")</f>
        <v xml:space="preserve">http://slimages.macys.com/is/image/MCY/10672584 </v>
      </c>
    </row>
    <row r="24" spans="1:12" ht="39.950000000000003" customHeight="1" x14ac:dyDescent="0.25">
      <c r="A24" s="6" t="s">
        <v>365</v>
      </c>
      <c r="B24" s="7" t="s">
        <v>366</v>
      </c>
      <c r="C24" s="8">
        <v>1</v>
      </c>
      <c r="D24" s="9">
        <v>59.99</v>
      </c>
      <c r="E24" s="8" t="s">
        <v>367</v>
      </c>
      <c r="F24" s="7" t="s">
        <v>2495</v>
      </c>
      <c r="G24" s="10"/>
      <c r="H24" s="7" t="s">
        <v>2535</v>
      </c>
      <c r="I24" s="7" t="s">
        <v>2409</v>
      </c>
      <c r="J24" s="7" t="s">
        <v>2363</v>
      </c>
      <c r="K24" s="7" t="s">
        <v>368</v>
      </c>
      <c r="L24" s="11" t="str">
        <f>HYPERLINK("http://slimages.macys.com/is/image/MCY/9115090 ")</f>
        <v xml:space="preserve">http://slimages.macys.com/is/image/MCY/9115090 </v>
      </c>
    </row>
    <row r="25" spans="1:12" ht="39.950000000000003" customHeight="1" x14ac:dyDescent="0.25">
      <c r="A25" s="6" t="s">
        <v>369</v>
      </c>
      <c r="B25" s="7" t="s">
        <v>370</v>
      </c>
      <c r="C25" s="8">
        <v>1</v>
      </c>
      <c r="D25" s="9">
        <v>89.99</v>
      </c>
      <c r="E25" s="8" t="s">
        <v>371</v>
      </c>
      <c r="F25" s="7" t="s">
        <v>2446</v>
      </c>
      <c r="G25" s="10"/>
      <c r="H25" s="7" t="s">
        <v>2369</v>
      </c>
      <c r="I25" s="7" t="s">
        <v>2409</v>
      </c>
      <c r="J25" s="7" t="s">
        <v>2363</v>
      </c>
      <c r="K25" s="7" t="s">
        <v>372</v>
      </c>
      <c r="L25" s="11" t="str">
        <f>HYPERLINK("http://slimages.macys.com/is/image/MCY/12499306 ")</f>
        <v xml:space="preserve">http://slimages.macys.com/is/image/MCY/12499306 </v>
      </c>
    </row>
    <row r="26" spans="1:12" ht="39.950000000000003" customHeight="1" x14ac:dyDescent="0.25">
      <c r="A26" s="6" t="s">
        <v>2841</v>
      </c>
      <c r="B26" s="7" t="s">
        <v>2842</v>
      </c>
      <c r="C26" s="8">
        <v>1</v>
      </c>
      <c r="D26" s="9">
        <v>69.989999999999995</v>
      </c>
      <c r="E26" s="8" t="s">
        <v>2843</v>
      </c>
      <c r="F26" s="7" t="s">
        <v>2362</v>
      </c>
      <c r="G26" s="10"/>
      <c r="H26" s="7" t="s">
        <v>2357</v>
      </c>
      <c r="I26" s="7" t="s">
        <v>2358</v>
      </c>
      <c r="J26" s="7" t="s">
        <v>2363</v>
      </c>
      <c r="K26" s="7" t="s">
        <v>2367</v>
      </c>
      <c r="L26" s="11" t="str">
        <f>HYPERLINK("http://slimages.macys.com/is/image/MCY/9621143 ")</f>
        <v xml:space="preserve">http://slimages.macys.com/is/image/MCY/9621143 </v>
      </c>
    </row>
    <row r="27" spans="1:12" ht="39.950000000000003" customHeight="1" x14ac:dyDescent="0.25">
      <c r="A27" s="6" t="s">
        <v>373</v>
      </c>
      <c r="B27" s="7" t="s">
        <v>374</v>
      </c>
      <c r="C27" s="8">
        <v>1</v>
      </c>
      <c r="D27" s="9">
        <v>49.99</v>
      </c>
      <c r="E27" s="8">
        <v>16718138</v>
      </c>
      <c r="F27" s="7" t="s">
        <v>2905</v>
      </c>
      <c r="G27" s="10"/>
      <c r="H27" s="7" t="s">
        <v>2432</v>
      </c>
      <c r="I27" s="7" t="s">
        <v>2605</v>
      </c>
      <c r="J27" s="7" t="s">
        <v>2363</v>
      </c>
      <c r="K27" s="7" t="s">
        <v>1174</v>
      </c>
      <c r="L27" s="11" t="str">
        <f>HYPERLINK("http://slimages.macys.com/is/image/MCY/3073694 ")</f>
        <v xml:space="preserve">http://slimages.macys.com/is/image/MCY/3073694 </v>
      </c>
    </row>
    <row r="28" spans="1:12" ht="39.950000000000003" customHeight="1" x14ac:dyDescent="0.25">
      <c r="A28" s="6" t="s">
        <v>375</v>
      </c>
      <c r="B28" s="7" t="s">
        <v>376</v>
      </c>
      <c r="C28" s="8">
        <v>2</v>
      </c>
      <c r="D28" s="9">
        <v>89.98</v>
      </c>
      <c r="E28" s="8" t="s">
        <v>377</v>
      </c>
      <c r="F28" s="7" t="s">
        <v>2368</v>
      </c>
      <c r="G28" s="10"/>
      <c r="H28" s="7" t="s">
        <v>2391</v>
      </c>
      <c r="I28" s="7" t="s">
        <v>2409</v>
      </c>
      <c r="J28" s="7" t="s">
        <v>2363</v>
      </c>
      <c r="K28" s="7" t="s">
        <v>2385</v>
      </c>
      <c r="L28" s="11" t="str">
        <f>HYPERLINK("http://slimages.macys.com/is/image/MCY/8216563 ")</f>
        <v xml:space="preserve">http://slimages.macys.com/is/image/MCY/8216563 </v>
      </c>
    </row>
    <row r="29" spans="1:12" ht="39.950000000000003" customHeight="1" x14ac:dyDescent="0.25">
      <c r="A29" s="6" t="s">
        <v>378</v>
      </c>
      <c r="B29" s="7" t="s">
        <v>379</v>
      </c>
      <c r="C29" s="8">
        <v>2</v>
      </c>
      <c r="D29" s="9">
        <v>89.98</v>
      </c>
      <c r="E29" s="8" t="s">
        <v>380</v>
      </c>
      <c r="F29" s="7" t="s">
        <v>2355</v>
      </c>
      <c r="G29" s="10" t="s">
        <v>804</v>
      </c>
      <c r="H29" s="7" t="s">
        <v>2391</v>
      </c>
      <c r="I29" s="7" t="s">
        <v>2409</v>
      </c>
      <c r="J29" s="7" t="s">
        <v>2363</v>
      </c>
      <c r="K29" s="7" t="s">
        <v>2385</v>
      </c>
      <c r="L29" s="11" t="str">
        <f>HYPERLINK("http://slimages.macys.com/is/image/MCY/8216563 ")</f>
        <v xml:space="preserve">http://slimages.macys.com/is/image/MCY/8216563 </v>
      </c>
    </row>
    <row r="30" spans="1:12" ht="39.950000000000003" customHeight="1" x14ac:dyDescent="0.25">
      <c r="A30" s="6" t="s">
        <v>381</v>
      </c>
      <c r="B30" s="7" t="s">
        <v>382</v>
      </c>
      <c r="C30" s="8">
        <v>2</v>
      </c>
      <c r="D30" s="9">
        <v>77.98</v>
      </c>
      <c r="E30" s="8" t="s">
        <v>383</v>
      </c>
      <c r="F30" s="7" t="s">
        <v>2355</v>
      </c>
      <c r="G30" s="10"/>
      <c r="H30" s="7" t="s">
        <v>2391</v>
      </c>
      <c r="I30" s="7" t="s">
        <v>2409</v>
      </c>
      <c r="J30" s="7" t="s">
        <v>2363</v>
      </c>
      <c r="K30" s="7" t="s">
        <v>384</v>
      </c>
      <c r="L30" s="11" t="str">
        <f>HYPERLINK("http://slimages.macys.com/is/image/MCY/9534554 ")</f>
        <v xml:space="preserve">http://slimages.macys.com/is/image/MCY/9534554 </v>
      </c>
    </row>
    <row r="31" spans="1:12" ht="39.950000000000003" customHeight="1" x14ac:dyDescent="0.25">
      <c r="A31" s="6" t="s">
        <v>385</v>
      </c>
      <c r="B31" s="7" t="s">
        <v>386</v>
      </c>
      <c r="C31" s="8">
        <v>1</v>
      </c>
      <c r="D31" s="9">
        <v>79.989999999999995</v>
      </c>
      <c r="E31" s="8" t="s">
        <v>387</v>
      </c>
      <c r="F31" s="7" t="s">
        <v>2355</v>
      </c>
      <c r="G31" s="10"/>
      <c r="H31" s="7" t="s">
        <v>2357</v>
      </c>
      <c r="I31" s="7" t="s">
        <v>2358</v>
      </c>
      <c r="J31" s="7" t="s">
        <v>2363</v>
      </c>
      <c r="K31" s="7"/>
      <c r="L31" s="11" t="str">
        <f>HYPERLINK("http://slimages.macys.com/is/image/MCY/12873898 ")</f>
        <v xml:space="preserve">http://slimages.macys.com/is/image/MCY/12873898 </v>
      </c>
    </row>
    <row r="32" spans="1:12" ht="39.950000000000003" customHeight="1" x14ac:dyDescent="0.25">
      <c r="A32" s="6" t="s">
        <v>388</v>
      </c>
      <c r="B32" s="7" t="s">
        <v>389</v>
      </c>
      <c r="C32" s="8">
        <v>2</v>
      </c>
      <c r="D32" s="9">
        <v>83.98</v>
      </c>
      <c r="E32" s="8" t="s">
        <v>390</v>
      </c>
      <c r="F32" s="7"/>
      <c r="G32" s="10"/>
      <c r="H32" s="7" t="s">
        <v>2391</v>
      </c>
      <c r="I32" s="7" t="s">
        <v>2409</v>
      </c>
      <c r="J32" s="7" t="s">
        <v>2363</v>
      </c>
      <c r="K32" s="7" t="s">
        <v>2385</v>
      </c>
      <c r="L32" s="11" t="str">
        <f>HYPERLINK("http://slimages.macys.com/is/image/MCY/16396363 ")</f>
        <v xml:space="preserve">http://slimages.macys.com/is/image/MCY/16396363 </v>
      </c>
    </row>
    <row r="33" spans="1:12" ht="39.950000000000003" customHeight="1" x14ac:dyDescent="0.25">
      <c r="A33" s="6" t="s">
        <v>391</v>
      </c>
      <c r="B33" s="7" t="s">
        <v>392</v>
      </c>
      <c r="C33" s="8">
        <v>1</v>
      </c>
      <c r="D33" s="9">
        <v>47.99</v>
      </c>
      <c r="E33" s="8" t="s">
        <v>393</v>
      </c>
      <c r="F33" s="7" t="s">
        <v>2386</v>
      </c>
      <c r="G33" s="10"/>
      <c r="H33" s="7" t="s">
        <v>2535</v>
      </c>
      <c r="I33" s="7" t="s">
        <v>2409</v>
      </c>
      <c r="J33" s="7" t="s">
        <v>2363</v>
      </c>
      <c r="K33" s="7"/>
      <c r="L33" s="11" t="str">
        <f>HYPERLINK("http://slimages.macys.com/is/image/MCY/9827005 ")</f>
        <v xml:space="preserve">http://slimages.macys.com/is/image/MCY/9827005 </v>
      </c>
    </row>
    <row r="34" spans="1:12" ht="39.950000000000003" customHeight="1" x14ac:dyDescent="0.25">
      <c r="A34" s="6" t="s">
        <v>394</v>
      </c>
      <c r="B34" s="7" t="s">
        <v>395</v>
      </c>
      <c r="C34" s="8">
        <v>2</v>
      </c>
      <c r="D34" s="9">
        <v>79.98</v>
      </c>
      <c r="E34" s="8">
        <v>16718038</v>
      </c>
      <c r="F34" s="7" t="s">
        <v>2905</v>
      </c>
      <c r="G34" s="10"/>
      <c r="H34" s="7" t="s">
        <v>2432</v>
      </c>
      <c r="I34" s="7" t="s">
        <v>2605</v>
      </c>
      <c r="J34" s="7" t="s">
        <v>2363</v>
      </c>
      <c r="K34" s="7" t="s">
        <v>1174</v>
      </c>
      <c r="L34" s="11" t="str">
        <f>HYPERLINK("http://slimages.macys.com/is/image/MCY/3073694 ")</f>
        <v xml:space="preserve">http://slimages.macys.com/is/image/MCY/3073694 </v>
      </c>
    </row>
    <row r="35" spans="1:12" ht="39.950000000000003" customHeight="1" x14ac:dyDescent="0.25">
      <c r="A35" s="6" t="s">
        <v>396</v>
      </c>
      <c r="B35" s="7" t="s">
        <v>397</v>
      </c>
      <c r="C35" s="8">
        <v>2</v>
      </c>
      <c r="D35" s="9">
        <v>73.98</v>
      </c>
      <c r="E35" s="8" t="s">
        <v>398</v>
      </c>
      <c r="F35" s="7" t="s">
        <v>2355</v>
      </c>
      <c r="G35" s="10"/>
      <c r="H35" s="7" t="s">
        <v>2391</v>
      </c>
      <c r="I35" s="7" t="s">
        <v>2409</v>
      </c>
      <c r="J35" s="7" t="s">
        <v>2363</v>
      </c>
      <c r="K35" s="7" t="s">
        <v>2385</v>
      </c>
      <c r="L35" s="11" t="str">
        <f>HYPERLINK("http://slimages.macys.com/is/image/MCY/8152741 ")</f>
        <v xml:space="preserve">http://slimages.macys.com/is/image/MCY/8152741 </v>
      </c>
    </row>
    <row r="36" spans="1:12" ht="39.950000000000003" customHeight="1" x14ac:dyDescent="0.25">
      <c r="A36" s="6" t="s">
        <v>399</v>
      </c>
      <c r="B36" s="7" t="s">
        <v>400</v>
      </c>
      <c r="C36" s="8">
        <v>1</v>
      </c>
      <c r="D36" s="9">
        <v>33.99</v>
      </c>
      <c r="E36" s="8" t="s">
        <v>401</v>
      </c>
      <c r="F36" s="7" t="s">
        <v>2386</v>
      </c>
      <c r="G36" s="10"/>
      <c r="H36" s="7" t="s">
        <v>2391</v>
      </c>
      <c r="I36" s="7" t="s">
        <v>2409</v>
      </c>
      <c r="J36" s="7" t="s">
        <v>2363</v>
      </c>
      <c r="K36" s="7" t="s">
        <v>2513</v>
      </c>
      <c r="L36" s="11" t="str">
        <f>HYPERLINK("http://slimages.macys.com/is/image/MCY/9615186 ")</f>
        <v xml:space="preserve">http://slimages.macys.com/is/image/MCY/9615186 </v>
      </c>
    </row>
    <row r="37" spans="1:12" ht="39.950000000000003" customHeight="1" x14ac:dyDescent="0.25">
      <c r="A37" s="6" t="s">
        <v>3004</v>
      </c>
      <c r="B37" s="7" t="s">
        <v>3005</v>
      </c>
      <c r="C37" s="8">
        <v>1</v>
      </c>
      <c r="D37" s="9">
        <v>69.989999999999995</v>
      </c>
      <c r="E37" s="8" t="s">
        <v>3006</v>
      </c>
      <c r="F37" s="7" t="s">
        <v>2355</v>
      </c>
      <c r="G37" s="10"/>
      <c r="H37" s="7" t="s">
        <v>2357</v>
      </c>
      <c r="I37" s="7" t="s">
        <v>2358</v>
      </c>
      <c r="J37" s="7" t="s">
        <v>2363</v>
      </c>
      <c r="K37" s="7" t="s">
        <v>2367</v>
      </c>
      <c r="L37" s="11" t="str">
        <f>HYPERLINK("http://slimages.macys.com/is/image/MCY/9621143 ")</f>
        <v xml:space="preserve">http://slimages.macys.com/is/image/MCY/9621143 </v>
      </c>
    </row>
    <row r="38" spans="1:12" ht="39.950000000000003" customHeight="1" x14ac:dyDescent="0.25">
      <c r="A38" s="6" t="s">
        <v>402</v>
      </c>
      <c r="B38" s="7" t="s">
        <v>403</v>
      </c>
      <c r="C38" s="8">
        <v>2</v>
      </c>
      <c r="D38" s="9">
        <v>63.98</v>
      </c>
      <c r="E38" s="8" t="s">
        <v>404</v>
      </c>
      <c r="F38" s="7" t="s">
        <v>2355</v>
      </c>
      <c r="G38" s="10"/>
      <c r="H38" s="7" t="s">
        <v>2391</v>
      </c>
      <c r="I38" s="7" t="s">
        <v>2409</v>
      </c>
      <c r="J38" s="7" t="s">
        <v>2363</v>
      </c>
      <c r="K38" s="7"/>
      <c r="L38" s="11" t="str">
        <f>HYPERLINK("http://slimages.macys.com/is/image/MCY/10015397 ")</f>
        <v xml:space="preserve">http://slimages.macys.com/is/image/MCY/10015397 </v>
      </c>
    </row>
    <row r="39" spans="1:12" ht="39.950000000000003" customHeight="1" x14ac:dyDescent="0.25">
      <c r="A39" s="6" t="s">
        <v>697</v>
      </c>
      <c r="B39" s="7" t="s">
        <v>698</v>
      </c>
      <c r="C39" s="8">
        <v>2</v>
      </c>
      <c r="D39" s="9">
        <v>57.98</v>
      </c>
      <c r="E39" s="8">
        <v>17790</v>
      </c>
      <c r="F39" s="7" t="s">
        <v>2381</v>
      </c>
      <c r="G39" s="10" t="s">
        <v>2469</v>
      </c>
      <c r="H39" s="7" t="s">
        <v>2391</v>
      </c>
      <c r="I39" s="7" t="s">
        <v>2515</v>
      </c>
      <c r="J39" s="7" t="s">
        <v>2363</v>
      </c>
      <c r="K39" s="7" t="s">
        <v>2385</v>
      </c>
      <c r="L39" s="11" t="str">
        <f>HYPERLINK("http://slimages.macys.com/is/image/MCY/9316073 ")</f>
        <v xml:space="preserve">http://slimages.macys.com/is/image/MCY/9316073 </v>
      </c>
    </row>
    <row r="40" spans="1:12" ht="39.950000000000003" customHeight="1" x14ac:dyDescent="0.25">
      <c r="A40" s="6" t="s">
        <v>405</v>
      </c>
      <c r="B40" s="7" t="s">
        <v>406</v>
      </c>
      <c r="C40" s="8">
        <v>1</v>
      </c>
      <c r="D40" s="9">
        <v>38.99</v>
      </c>
      <c r="E40" s="8" t="s">
        <v>407</v>
      </c>
      <c r="F40" s="7" t="s">
        <v>2567</v>
      </c>
      <c r="G40" s="10"/>
      <c r="H40" s="7" t="s">
        <v>2369</v>
      </c>
      <c r="I40" s="7" t="s">
        <v>2431</v>
      </c>
      <c r="J40" s="7" t="s">
        <v>2363</v>
      </c>
      <c r="K40" s="7" t="s">
        <v>2767</v>
      </c>
      <c r="L40" s="11" t="str">
        <f>HYPERLINK("http://slimages.macys.com/is/image/MCY/10005660 ")</f>
        <v xml:space="preserve">http://slimages.macys.com/is/image/MCY/10005660 </v>
      </c>
    </row>
    <row r="41" spans="1:12" ht="39.950000000000003" customHeight="1" x14ac:dyDescent="0.25">
      <c r="A41" s="6" t="s">
        <v>408</v>
      </c>
      <c r="B41" s="7" t="s">
        <v>409</v>
      </c>
      <c r="C41" s="8">
        <v>2</v>
      </c>
      <c r="D41" s="9">
        <v>59.98</v>
      </c>
      <c r="E41" s="8" t="s">
        <v>410</v>
      </c>
      <c r="F41" s="7" t="s">
        <v>2386</v>
      </c>
      <c r="G41" s="10" t="s">
        <v>2455</v>
      </c>
      <c r="H41" s="7" t="s">
        <v>2391</v>
      </c>
      <c r="I41" s="7" t="s">
        <v>2528</v>
      </c>
      <c r="J41" s="7" t="s">
        <v>2363</v>
      </c>
      <c r="K41" s="7" t="s">
        <v>2371</v>
      </c>
      <c r="L41" s="11" t="str">
        <f>HYPERLINK("http://slimages.macys.com/is/image/MCY/12688596 ")</f>
        <v xml:space="preserve">http://slimages.macys.com/is/image/MCY/12688596 </v>
      </c>
    </row>
    <row r="42" spans="1:12" ht="39.950000000000003" customHeight="1" x14ac:dyDescent="0.25">
      <c r="A42" s="6" t="s">
        <v>411</v>
      </c>
      <c r="B42" s="7" t="s">
        <v>412</v>
      </c>
      <c r="C42" s="8">
        <v>1</v>
      </c>
      <c r="D42" s="9">
        <v>34.99</v>
      </c>
      <c r="E42" s="8" t="s">
        <v>413</v>
      </c>
      <c r="F42" s="7" t="s">
        <v>1527</v>
      </c>
      <c r="G42" s="10"/>
      <c r="H42" s="7" t="s">
        <v>2375</v>
      </c>
      <c r="I42" s="7" t="s">
        <v>2376</v>
      </c>
      <c r="J42" s="7" t="s">
        <v>2363</v>
      </c>
      <c r="K42" s="7" t="s">
        <v>414</v>
      </c>
      <c r="L42" s="11" t="str">
        <f>HYPERLINK("http://slimages.macys.com/is/image/MCY/14601410 ")</f>
        <v xml:space="preserve">http://slimages.macys.com/is/image/MCY/14601410 </v>
      </c>
    </row>
    <row r="43" spans="1:12" ht="39.950000000000003" customHeight="1" x14ac:dyDescent="0.25">
      <c r="A43" s="6" t="s">
        <v>1534</v>
      </c>
      <c r="B43" s="7" t="s">
        <v>1535</v>
      </c>
      <c r="C43" s="8">
        <v>2</v>
      </c>
      <c r="D43" s="9">
        <v>39.979999999999997</v>
      </c>
      <c r="E43" s="8">
        <v>42552</v>
      </c>
      <c r="F43" s="7" t="s">
        <v>2355</v>
      </c>
      <c r="G43" s="10"/>
      <c r="H43" s="7" t="s">
        <v>2391</v>
      </c>
      <c r="I43" s="7" t="s">
        <v>2456</v>
      </c>
      <c r="J43" s="7" t="s">
        <v>2363</v>
      </c>
      <c r="K43" s="7" t="s">
        <v>2385</v>
      </c>
      <c r="L43" s="11" t="str">
        <f>HYPERLINK("http://slimages.macys.com/is/image/MCY/10009174 ")</f>
        <v xml:space="preserve">http://slimages.macys.com/is/image/MCY/10009174 </v>
      </c>
    </row>
    <row r="44" spans="1:12" ht="39.950000000000003" customHeight="1" x14ac:dyDescent="0.25">
      <c r="A44" s="6" t="s">
        <v>415</v>
      </c>
      <c r="B44" s="7" t="s">
        <v>416</v>
      </c>
      <c r="C44" s="8">
        <v>1</v>
      </c>
      <c r="D44" s="9">
        <v>17.989999999999998</v>
      </c>
      <c r="E44" s="8" t="s">
        <v>859</v>
      </c>
      <c r="F44" s="7" t="s">
        <v>2435</v>
      </c>
      <c r="G44" s="10"/>
      <c r="H44" s="7" t="s">
        <v>2391</v>
      </c>
      <c r="I44" s="7" t="s">
        <v>2456</v>
      </c>
      <c r="J44" s="7" t="s">
        <v>2363</v>
      </c>
      <c r="K44" s="7" t="s">
        <v>2385</v>
      </c>
      <c r="L44" s="11" t="str">
        <f>HYPERLINK("http://slimages.macys.com/is/image/MCY/9197452 ")</f>
        <v xml:space="preserve">http://slimages.macys.com/is/image/MCY/9197452 </v>
      </c>
    </row>
    <row r="45" spans="1:12" ht="39.950000000000003" customHeight="1" x14ac:dyDescent="0.25">
      <c r="A45" s="6" t="s">
        <v>417</v>
      </c>
      <c r="B45" s="7" t="s">
        <v>418</v>
      </c>
      <c r="C45" s="8">
        <v>1</v>
      </c>
      <c r="D45" s="9">
        <v>15.99</v>
      </c>
      <c r="E45" s="8">
        <v>44023</v>
      </c>
      <c r="F45" s="7" t="s">
        <v>2379</v>
      </c>
      <c r="G45" s="10"/>
      <c r="H45" s="7" t="s">
        <v>2391</v>
      </c>
      <c r="I45" s="7" t="s">
        <v>2456</v>
      </c>
      <c r="J45" s="7" t="s">
        <v>2363</v>
      </c>
      <c r="K45" s="7" t="s">
        <v>2385</v>
      </c>
      <c r="L45" s="11" t="str">
        <f>HYPERLINK("http://slimages.macys.com/is/image/MCY/10010137 ")</f>
        <v xml:space="preserve">http://slimages.macys.com/is/image/MCY/10010137 </v>
      </c>
    </row>
    <row r="46" spans="1:12" ht="39.950000000000003" customHeight="1" x14ac:dyDescent="0.25">
      <c r="A46" s="6" t="s">
        <v>419</v>
      </c>
      <c r="B46" s="7" t="s">
        <v>420</v>
      </c>
      <c r="C46" s="8">
        <v>1</v>
      </c>
      <c r="D46" s="9">
        <v>15.99</v>
      </c>
      <c r="E46" s="8">
        <v>48051</v>
      </c>
      <c r="F46" s="7" t="s">
        <v>2615</v>
      </c>
      <c r="G46" s="10"/>
      <c r="H46" s="7" t="s">
        <v>2391</v>
      </c>
      <c r="I46" s="7" t="s">
        <v>2456</v>
      </c>
      <c r="J46" s="7" t="s">
        <v>2363</v>
      </c>
      <c r="K46" s="7" t="s">
        <v>2385</v>
      </c>
      <c r="L46" s="11" t="str">
        <f>HYPERLINK("http://slimages.macys.com/is/image/MCY/10010137 ")</f>
        <v xml:space="preserve">http://slimages.macys.com/is/image/MCY/10010137 </v>
      </c>
    </row>
    <row r="47" spans="1:12" ht="39.950000000000003" customHeight="1" x14ac:dyDescent="0.25">
      <c r="A47" s="6" t="s">
        <v>421</v>
      </c>
      <c r="B47" s="7" t="s">
        <v>422</v>
      </c>
      <c r="C47" s="8">
        <v>1</v>
      </c>
      <c r="D47" s="9">
        <v>11.99</v>
      </c>
      <c r="E47" s="8">
        <v>28742</v>
      </c>
      <c r="F47" s="7" t="s">
        <v>2355</v>
      </c>
      <c r="G47" s="10" t="s">
        <v>423</v>
      </c>
      <c r="H47" s="7" t="s">
        <v>2391</v>
      </c>
      <c r="I47" s="7" t="s">
        <v>2456</v>
      </c>
      <c r="J47" s="7" t="s">
        <v>2363</v>
      </c>
      <c r="K47" s="7" t="s">
        <v>2385</v>
      </c>
      <c r="L47" s="11" t="str">
        <f>HYPERLINK("http://slimages.macys.com/is/image/MCY/3055426 ")</f>
        <v xml:space="preserve">http://slimages.macys.com/is/image/MCY/3055426 </v>
      </c>
    </row>
    <row r="48" spans="1:12" ht="39.950000000000003" customHeight="1" x14ac:dyDescent="0.25">
      <c r="A48" s="6" t="s">
        <v>310</v>
      </c>
      <c r="B48" s="7" t="s">
        <v>311</v>
      </c>
      <c r="C48" s="8">
        <v>2</v>
      </c>
      <c r="D48" s="9">
        <v>23.98</v>
      </c>
      <c r="E48" s="8" t="s">
        <v>312</v>
      </c>
      <c r="F48" s="7" t="s">
        <v>2495</v>
      </c>
      <c r="G48" s="10"/>
      <c r="H48" s="7" t="s">
        <v>2391</v>
      </c>
      <c r="I48" s="7" t="s">
        <v>2550</v>
      </c>
      <c r="J48" s="7" t="s">
        <v>2363</v>
      </c>
      <c r="K48" s="7" t="s">
        <v>2385</v>
      </c>
      <c r="L48" s="11" t="str">
        <f>HYPERLINK("http://slimages.macys.com/is/image/MCY/935272 ")</f>
        <v xml:space="preserve">http://slimages.macys.com/is/image/MCY/935272 </v>
      </c>
    </row>
    <row r="49" spans="1:12" ht="39.950000000000003" customHeight="1" x14ac:dyDescent="0.25">
      <c r="A49" s="6" t="s">
        <v>424</v>
      </c>
      <c r="B49" s="7" t="s">
        <v>425</v>
      </c>
      <c r="C49" s="8">
        <v>1</v>
      </c>
      <c r="D49" s="9">
        <v>12.99</v>
      </c>
      <c r="E49" s="8">
        <v>1004534500</v>
      </c>
      <c r="F49" s="7" t="s">
        <v>2446</v>
      </c>
      <c r="G49" s="10" t="s">
        <v>2616</v>
      </c>
      <c r="H49" s="7" t="s">
        <v>2442</v>
      </c>
      <c r="I49" s="7" t="s">
        <v>2443</v>
      </c>
      <c r="J49" s="7" t="s">
        <v>2363</v>
      </c>
      <c r="K49" s="7" t="s">
        <v>2421</v>
      </c>
      <c r="L49" s="11" t="str">
        <f>HYPERLINK("http://slimages.macys.com/is/image/MCY/11396257 ")</f>
        <v xml:space="preserve">http://slimages.macys.com/is/image/MCY/11396257 </v>
      </c>
    </row>
    <row r="50" spans="1:12" ht="39.950000000000003" customHeight="1" x14ac:dyDescent="0.25">
      <c r="A50" s="6" t="s">
        <v>426</v>
      </c>
      <c r="B50" s="7" t="s">
        <v>427</v>
      </c>
      <c r="C50" s="8">
        <v>5</v>
      </c>
      <c r="D50" s="9">
        <v>64.95</v>
      </c>
      <c r="E50" s="8">
        <v>1001228300</v>
      </c>
      <c r="F50" s="7" t="s">
        <v>2368</v>
      </c>
      <c r="G50" s="10" t="s">
        <v>2616</v>
      </c>
      <c r="H50" s="7" t="s">
        <v>2442</v>
      </c>
      <c r="I50" s="7" t="s">
        <v>2443</v>
      </c>
      <c r="J50" s="7" t="s">
        <v>2363</v>
      </c>
      <c r="K50" s="7" t="s">
        <v>2421</v>
      </c>
      <c r="L50" s="11" t="str">
        <f>HYPERLINK("http://slimages.macys.com/is/image/MCY/13079193 ")</f>
        <v xml:space="preserve">http://slimages.macys.com/is/image/MCY/13079193 </v>
      </c>
    </row>
    <row r="51" spans="1:12" ht="39.950000000000003" customHeight="1" x14ac:dyDescent="0.25">
      <c r="A51" s="6" t="s">
        <v>1254</v>
      </c>
      <c r="B51" s="7" t="s">
        <v>1255</v>
      </c>
      <c r="C51" s="8">
        <v>1</v>
      </c>
      <c r="D51" s="9">
        <v>7.99</v>
      </c>
      <c r="E51" s="8">
        <v>1001228500</v>
      </c>
      <c r="F51" s="7" t="s">
        <v>2368</v>
      </c>
      <c r="G51" s="10" t="s">
        <v>2463</v>
      </c>
      <c r="H51" s="7" t="s">
        <v>2442</v>
      </c>
      <c r="I51" s="7" t="s">
        <v>2443</v>
      </c>
      <c r="J51" s="7" t="s">
        <v>2363</v>
      </c>
      <c r="K51" s="7" t="s">
        <v>2421</v>
      </c>
      <c r="L51" s="11" t="str">
        <f>HYPERLINK("http://slimages.macys.com/is/image/MCY/9507641 ")</f>
        <v xml:space="preserve">http://slimages.macys.com/is/image/MCY/9507641 </v>
      </c>
    </row>
    <row r="52" spans="1:12" ht="39.950000000000003" customHeight="1" x14ac:dyDescent="0.25">
      <c r="A52" s="6" t="s">
        <v>428</v>
      </c>
      <c r="B52" s="7" t="s">
        <v>429</v>
      </c>
      <c r="C52" s="8">
        <v>2</v>
      </c>
      <c r="D52" s="9">
        <v>15.98</v>
      </c>
      <c r="E52" s="8">
        <v>1001228500</v>
      </c>
      <c r="F52" s="7" t="s">
        <v>2446</v>
      </c>
      <c r="G52" s="10" t="s">
        <v>2463</v>
      </c>
      <c r="H52" s="7" t="s">
        <v>2442</v>
      </c>
      <c r="I52" s="7" t="s">
        <v>2443</v>
      </c>
      <c r="J52" s="7" t="s">
        <v>2363</v>
      </c>
      <c r="K52" s="7" t="s">
        <v>2421</v>
      </c>
      <c r="L52" s="11" t="str">
        <f>HYPERLINK("http://slimages.macys.com/is/image/MCY/9507641 ")</f>
        <v xml:space="preserve">http://slimages.macys.com/is/image/MCY/9507641 </v>
      </c>
    </row>
    <row r="53" spans="1:12" ht="39.950000000000003" customHeight="1" x14ac:dyDescent="0.25">
      <c r="A53" s="6" t="s">
        <v>430</v>
      </c>
      <c r="B53" s="7" t="s">
        <v>431</v>
      </c>
      <c r="C53" s="8">
        <v>1</v>
      </c>
      <c r="D53" s="9">
        <v>2.99</v>
      </c>
      <c r="E53" s="8" t="s">
        <v>432</v>
      </c>
      <c r="F53" s="7" t="s">
        <v>2567</v>
      </c>
      <c r="G53" s="10" t="s">
        <v>2463</v>
      </c>
      <c r="H53" s="7" t="s">
        <v>2420</v>
      </c>
      <c r="I53" s="7" t="s">
        <v>2388</v>
      </c>
      <c r="J53" s="7" t="s">
        <v>2363</v>
      </c>
      <c r="K53" s="7" t="s">
        <v>2421</v>
      </c>
      <c r="L53" s="11" t="str">
        <f>HYPERLINK("http://slimages.macys.com/is/image/MCY/9848134 ")</f>
        <v xml:space="preserve">http://slimages.macys.com/is/image/MCY/9848134 </v>
      </c>
    </row>
    <row r="54" spans="1:12" ht="39.950000000000003" customHeight="1" x14ac:dyDescent="0.25">
      <c r="A54" s="6" t="s">
        <v>433</v>
      </c>
      <c r="B54" s="7" t="s">
        <v>434</v>
      </c>
      <c r="C54" s="8">
        <v>2</v>
      </c>
      <c r="D54" s="9">
        <v>5.98</v>
      </c>
      <c r="E54" s="8" t="s">
        <v>432</v>
      </c>
      <c r="F54" s="7" t="s">
        <v>2495</v>
      </c>
      <c r="G54" s="10" t="s">
        <v>2463</v>
      </c>
      <c r="H54" s="7" t="s">
        <v>2420</v>
      </c>
      <c r="I54" s="7" t="s">
        <v>2388</v>
      </c>
      <c r="J54" s="7" t="s">
        <v>2363</v>
      </c>
      <c r="K54" s="7" t="s">
        <v>2421</v>
      </c>
      <c r="L54" s="11" t="str">
        <f>HYPERLINK("http://slimages.macys.com/is/image/MCY/9848134 ")</f>
        <v xml:space="preserve">http://slimages.macys.com/is/image/MCY/9848134 </v>
      </c>
    </row>
    <row r="55" spans="1:12" ht="39.950000000000003" customHeight="1" x14ac:dyDescent="0.25">
      <c r="A55" s="6" t="s">
        <v>1264</v>
      </c>
      <c r="B55" s="7" t="s">
        <v>1265</v>
      </c>
      <c r="C55" s="8">
        <v>1</v>
      </c>
      <c r="D55" s="9">
        <v>3.99</v>
      </c>
      <c r="E55" s="8" t="s">
        <v>1266</v>
      </c>
      <c r="F55" s="7" t="s">
        <v>2435</v>
      </c>
      <c r="G55" s="10" t="s">
        <v>2463</v>
      </c>
      <c r="H55" s="7" t="s">
        <v>2420</v>
      </c>
      <c r="I55" s="7" t="s">
        <v>2433</v>
      </c>
      <c r="J55" s="7" t="s">
        <v>2363</v>
      </c>
      <c r="K55" s="7" t="s">
        <v>2421</v>
      </c>
      <c r="L55" s="11" t="str">
        <f>HYPERLINK("http://slimages.macys.com/is/image/MCY/11926122 ")</f>
        <v xml:space="preserve">http://slimages.macys.com/is/image/MCY/11926122 </v>
      </c>
    </row>
    <row r="56" spans="1:12" ht="39.950000000000003" customHeight="1" x14ac:dyDescent="0.25">
      <c r="A56" s="6" t="s">
        <v>435</v>
      </c>
      <c r="B56" s="7" t="s">
        <v>436</v>
      </c>
      <c r="C56" s="8">
        <v>1</v>
      </c>
      <c r="D56" s="9">
        <v>7.99</v>
      </c>
      <c r="E56" s="8">
        <v>1005083000</v>
      </c>
      <c r="F56" s="7" t="s">
        <v>2475</v>
      </c>
      <c r="G56" s="10" t="s">
        <v>2463</v>
      </c>
      <c r="H56" s="7" t="s">
        <v>2442</v>
      </c>
      <c r="I56" s="7" t="s">
        <v>2411</v>
      </c>
      <c r="J56" s="7" t="s">
        <v>2363</v>
      </c>
      <c r="K56" s="7" t="s">
        <v>2640</v>
      </c>
      <c r="L56" s="11" t="str">
        <f>HYPERLINK("http://slimages.macys.com/is/image/MCY/11709733 ")</f>
        <v xml:space="preserve">http://slimages.macys.com/is/image/MCY/11709733 </v>
      </c>
    </row>
    <row r="57" spans="1:12" ht="39.950000000000003" customHeight="1" x14ac:dyDescent="0.25">
      <c r="A57" s="6"/>
      <c r="B57" s="7"/>
      <c r="C57" s="8"/>
      <c r="D57" s="9"/>
      <c r="E57" s="8"/>
      <c r="F57" s="7"/>
      <c r="G57" s="10"/>
      <c r="H57" s="7"/>
      <c r="I57" s="7"/>
      <c r="J57" s="7"/>
      <c r="K57" s="7"/>
      <c r="L57" s="11"/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85"/>
  <sheetViews>
    <sheetView workbookViewId="0">
      <selection activeCell="B44" sqref="B44"/>
    </sheetView>
  </sheetViews>
  <sheetFormatPr defaultRowHeight="39.950000000000003" customHeight="1" x14ac:dyDescent="0.25"/>
  <cols>
    <col min="1" max="1" width="14.28515625" customWidth="1"/>
    <col min="2" max="2" width="45.7109375" customWidth="1"/>
    <col min="3" max="3" width="15" customWidth="1"/>
    <col min="4" max="4" width="10.28515625" customWidth="1"/>
    <col min="5" max="6" width="11.42578125" customWidth="1"/>
    <col min="8" max="8" width="12.140625" customWidth="1"/>
    <col min="9" max="9" width="35.28515625" bestFit="1" customWidth="1"/>
    <col min="10" max="11" width="20.7109375" customWidth="1"/>
    <col min="12" max="12" width="64.28515625" customWidth="1"/>
  </cols>
  <sheetData>
    <row r="1" spans="1:12" ht="36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2350</v>
      </c>
      <c r="I1" s="5" t="s">
        <v>2351</v>
      </c>
      <c r="J1" s="5" t="s">
        <v>2352</v>
      </c>
      <c r="K1" s="5" t="s">
        <v>2353</v>
      </c>
      <c r="L1" s="5" t="s">
        <v>2354</v>
      </c>
    </row>
    <row r="2" spans="1:12" ht="36.75" x14ac:dyDescent="0.25">
      <c r="A2" s="6" t="s">
        <v>3010</v>
      </c>
      <c r="B2" s="7" t="s">
        <v>3011</v>
      </c>
      <c r="C2" s="8">
        <v>2</v>
      </c>
      <c r="D2" s="9">
        <v>95.98</v>
      </c>
      <c r="E2" s="8" t="s">
        <v>3012</v>
      </c>
      <c r="F2" s="7" t="s">
        <v>2512</v>
      </c>
      <c r="G2" s="10" t="s">
        <v>2356</v>
      </c>
      <c r="H2" s="7" t="s">
        <v>2545</v>
      </c>
      <c r="I2" s="7" t="s">
        <v>2546</v>
      </c>
      <c r="J2" s="7" t="s">
        <v>2363</v>
      </c>
      <c r="K2" s="7" t="s">
        <v>2385</v>
      </c>
      <c r="L2" s="11" t="str">
        <f>HYPERLINK("http://slimages.macys.com/is/image/MCY/9489266 ")</f>
        <v xml:space="preserve">http://slimages.macys.com/is/image/MCY/9489266 </v>
      </c>
    </row>
    <row r="3" spans="1:12" ht="24.75" x14ac:dyDescent="0.25">
      <c r="A3" s="6" t="s">
        <v>3013</v>
      </c>
      <c r="B3" s="7" t="s">
        <v>3014</v>
      </c>
      <c r="C3" s="8">
        <v>1</v>
      </c>
      <c r="D3" s="9">
        <v>29.99</v>
      </c>
      <c r="E3" s="8">
        <v>82262</v>
      </c>
      <c r="F3" s="7" t="s">
        <v>2567</v>
      </c>
      <c r="G3" s="10"/>
      <c r="H3" s="7" t="s">
        <v>2369</v>
      </c>
      <c r="I3" s="7" t="s">
        <v>3015</v>
      </c>
      <c r="J3" s="7"/>
      <c r="K3" s="7"/>
      <c r="L3" s="11" t="str">
        <f>HYPERLINK("http://slimages.macys.com/is/image/MCY/17863046 ")</f>
        <v xml:space="preserve">http://slimages.macys.com/is/image/MCY/17863046 </v>
      </c>
    </row>
    <row r="4" spans="1:12" ht="15" x14ac:dyDescent="0.25"/>
    <row r="5" spans="1:12" ht="15" x14ac:dyDescent="0.25"/>
    <row r="6" spans="1:12" ht="15" x14ac:dyDescent="0.25"/>
    <row r="7" spans="1:12" ht="15" x14ac:dyDescent="0.25"/>
    <row r="8" spans="1:12" ht="15" x14ac:dyDescent="0.25"/>
    <row r="9" spans="1:12" ht="15" x14ac:dyDescent="0.25"/>
    <row r="10" spans="1:12" ht="15" x14ac:dyDescent="0.25"/>
    <row r="11" spans="1:12" ht="15" x14ac:dyDescent="0.25"/>
    <row r="12" spans="1:12" ht="15" x14ac:dyDescent="0.25"/>
    <row r="13" spans="1:12" ht="15" x14ac:dyDescent="0.25"/>
    <row r="14" spans="1:12" ht="15" x14ac:dyDescent="0.25"/>
    <row r="15" spans="1:12" ht="15" x14ac:dyDescent="0.25"/>
    <row r="16" spans="1:12" ht="15" x14ac:dyDescent="0.25"/>
    <row r="17" ht="15" x14ac:dyDescent="0.25"/>
    <row r="18" ht="15" x14ac:dyDescent="0.25"/>
    <row r="19" ht="15" x14ac:dyDescent="0.25"/>
    <row r="20" ht="15" x14ac:dyDescent="0.25"/>
    <row r="21" ht="15" x14ac:dyDescent="0.25"/>
    <row r="22" ht="15" x14ac:dyDescent="0.25"/>
    <row r="23" ht="15" x14ac:dyDescent="0.25"/>
    <row r="24" ht="15" x14ac:dyDescent="0.25"/>
    <row r="25" ht="15" x14ac:dyDescent="0.25"/>
    <row r="26" ht="15" x14ac:dyDescent="0.25"/>
    <row r="27" ht="15" x14ac:dyDescent="0.25"/>
    <row r="28" ht="15" x14ac:dyDescent="0.25"/>
    <row r="29" ht="15" x14ac:dyDescent="0.25"/>
    <row r="30" ht="15" x14ac:dyDescent="0.25"/>
    <row r="31" ht="15" x14ac:dyDescent="0.25"/>
    <row r="3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47"/>
  <sheetViews>
    <sheetView workbookViewId="0">
      <selection activeCell="B44" sqref="B44"/>
    </sheetView>
  </sheetViews>
  <sheetFormatPr defaultRowHeight="39.950000000000003" customHeight="1" x14ac:dyDescent="0.25"/>
  <cols>
    <col min="1" max="1" width="14.28515625" customWidth="1"/>
    <col min="2" max="2" width="52" customWidth="1"/>
    <col min="3" max="3" width="15" customWidth="1"/>
    <col min="4" max="4" width="10.8554687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2350</v>
      </c>
      <c r="I1" s="5" t="s">
        <v>2351</v>
      </c>
      <c r="J1" s="5" t="s">
        <v>2352</v>
      </c>
      <c r="K1" s="5" t="s">
        <v>2353</v>
      </c>
      <c r="L1" s="5" t="s">
        <v>2354</v>
      </c>
    </row>
    <row r="2" spans="1:12" ht="39.950000000000003" customHeight="1" x14ac:dyDescent="0.25">
      <c r="A2" s="6" t="s">
        <v>3102</v>
      </c>
      <c r="B2" s="7" t="s">
        <v>3103</v>
      </c>
      <c r="C2" s="8">
        <v>2</v>
      </c>
      <c r="D2" s="9">
        <v>499.98</v>
      </c>
      <c r="E2" s="8" t="s">
        <v>3104</v>
      </c>
      <c r="F2" s="7" t="s">
        <v>2355</v>
      </c>
      <c r="G2" s="10"/>
      <c r="H2" s="7" t="s">
        <v>2383</v>
      </c>
      <c r="I2" s="7" t="s">
        <v>2384</v>
      </c>
      <c r="J2" s="7" t="s">
        <v>2363</v>
      </c>
      <c r="K2" s="7" t="s">
        <v>2793</v>
      </c>
      <c r="L2" s="11" t="str">
        <f>HYPERLINK("http://slimages.macys.com/is/image/MCY/2567151 ")</f>
        <v xml:space="preserve">http://slimages.macys.com/is/image/MCY/2567151 </v>
      </c>
    </row>
    <row r="3" spans="1:12" ht="39.950000000000003" customHeight="1" x14ac:dyDescent="0.25">
      <c r="A3" s="6" t="s">
        <v>3105</v>
      </c>
      <c r="B3" s="7" t="s">
        <v>3106</v>
      </c>
      <c r="C3" s="8">
        <v>1</v>
      </c>
      <c r="D3" s="9">
        <v>179.99</v>
      </c>
      <c r="E3" s="8" t="s">
        <v>3107</v>
      </c>
      <c r="F3" s="7" t="s">
        <v>2495</v>
      </c>
      <c r="G3" s="10"/>
      <c r="H3" s="7" t="s">
        <v>2700</v>
      </c>
      <c r="I3" s="7" t="s">
        <v>2701</v>
      </c>
      <c r="J3" s="7"/>
      <c r="K3" s="7"/>
      <c r="L3" s="11" t="str">
        <f>HYPERLINK("http://slimages.macys.com/is/image/MCY/16608843 ")</f>
        <v xml:space="preserve">http://slimages.macys.com/is/image/MCY/16608843 </v>
      </c>
    </row>
    <row r="4" spans="1:12" ht="39.950000000000003" customHeight="1" x14ac:dyDescent="0.25">
      <c r="A4" s="6" t="s">
        <v>3108</v>
      </c>
      <c r="B4" s="7" t="s">
        <v>3109</v>
      </c>
      <c r="C4" s="8">
        <v>1</v>
      </c>
      <c r="D4" s="9">
        <v>78.11</v>
      </c>
      <c r="E4" s="8" t="s">
        <v>3110</v>
      </c>
      <c r="F4" s="7"/>
      <c r="G4" s="10"/>
      <c r="H4" s="7" t="s">
        <v>2357</v>
      </c>
      <c r="I4" s="7" t="s">
        <v>2593</v>
      </c>
      <c r="J4" s="7" t="s">
        <v>2363</v>
      </c>
      <c r="K4" s="7"/>
      <c r="L4" s="11" t="str">
        <f>HYPERLINK("http://slimages.macys.com/is/image/MCY/8453058 ")</f>
        <v xml:space="preserve">http://slimages.macys.com/is/image/MCY/8453058 </v>
      </c>
    </row>
    <row r="5" spans="1:12" ht="39.950000000000003" customHeight="1" x14ac:dyDescent="0.25">
      <c r="A5" s="6" t="s">
        <v>3111</v>
      </c>
      <c r="B5" s="7" t="s">
        <v>3112</v>
      </c>
      <c r="C5" s="8">
        <v>1</v>
      </c>
      <c r="D5" s="9">
        <v>169.99</v>
      </c>
      <c r="E5" s="8" t="s">
        <v>3113</v>
      </c>
      <c r="F5" s="7" t="s">
        <v>2446</v>
      </c>
      <c r="G5" s="10"/>
      <c r="H5" s="7" t="s">
        <v>2369</v>
      </c>
      <c r="I5" s="7" t="s">
        <v>2409</v>
      </c>
      <c r="J5" s="7" t="s">
        <v>2363</v>
      </c>
      <c r="K5" s="7" t="s">
        <v>3114</v>
      </c>
      <c r="L5" s="11" t="str">
        <f>HYPERLINK("http://slimages.macys.com/is/image/MCY/9627844 ")</f>
        <v xml:space="preserve">http://slimages.macys.com/is/image/MCY/9627844 </v>
      </c>
    </row>
    <row r="6" spans="1:12" ht="39.950000000000003" customHeight="1" x14ac:dyDescent="0.25">
      <c r="A6" s="6" t="s">
        <v>3115</v>
      </c>
      <c r="B6" s="7" t="s">
        <v>3116</v>
      </c>
      <c r="C6" s="8">
        <v>1</v>
      </c>
      <c r="D6" s="9">
        <v>149.99</v>
      </c>
      <c r="E6" s="8" t="s">
        <v>3117</v>
      </c>
      <c r="F6" s="7" t="s">
        <v>2362</v>
      </c>
      <c r="G6" s="10"/>
      <c r="H6" s="7" t="s">
        <v>2535</v>
      </c>
      <c r="I6" s="7" t="s">
        <v>2408</v>
      </c>
      <c r="J6" s="7" t="s">
        <v>2363</v>
      </c>
      <c r="K6" s="7" t="s">
        <v>2385</v>
      </c>
      <c r="L6" s="11" t="str">
        <f>HYPERLINK("http://slimages.macys.com/is/image/MCY/3813833 ")</f>
        <v xml:space="preserve">http://slimages.macys.com/is/image/MCY/3813833 </v>
      </c>
    </row>
    <row r="7" spans="1:12" ht="39.950000000000003" customHeight="1" x14ac:dyDescent="0.25">
      <c r="A7" s="6" t="s">
        <v>2920</v>
      </c>
      <c r="B7" s="7" t="s">
        <v>2921</v>
      </c>
      <c r="C7" s="8">
        <v>1</v>
      </c>
      <c r="D7" s="9">
        <v>129.99</v>
      </c>
      <c r="E7" s="8" t="s">
        <v>2922</v>
      </c>
      <c r="F7" s="7" t="s">
        <v>2424</v>
      </c>
      <c r="G7" s="10"/>
      <c r="H7" s="7" t="s">
        <v>2422</v>
      </c>
      <c r="I7" s="7" t="s">
        <v>2526</v>
      </c>
      <c r="J7" s="7" t="s">
        <v>2363</v>
      </c>
      <c r="K7" s="7" t="s">
        <v>2444</v>
      </c>
      <c r="L7" s="11" t="str">
        <f>HYPERLINK("http://slimages.macys.com/is/image/MCY/3663823 ")</f>
        <v xml:space="preserve">http://slimages.macys.com/is/image/MCY/3663823 </v>
      </c>
    </row>
    <row r="8" spans="1:12" ht="39.950000000000003" customHeight="1" x14ac:dyDescent="0.25">
      <c r="A8" s="6" t="s">
        <v>3118</v>
      </c>
      <c r="B8" s="7" t="s">
        <v>3119</v>
      </c>
      <c r="C8" s="8">
        <v>1</v>
      </c>
      <c r="D8" s="9">
        <v>119.99</v>
      </c>
      <c r="E8" s="8" t="s">
        <v>3120</v>
      </c>
      <c r="F8" s="7" t="s">
        <v>2506</v>
      </c>
      <c r="G8" s="10"/>
      <c r="H8" s="7" t="s">
        <v>2391</v>
      </c>
      <c r="I8" s="7" t="s">
        <v>2528</v>
      </c>
      <c r="J8" s="7" t="s">
        <v>2363</v>
      </c>
      <c r="K8" s="7"/>
      <c r="L8" s="11" t="str">
        <f>HYPERLINK("http://slimages.macys.com/is/image/MCY/8907453 ")</f>
        <v xml:space="preserve">http://slimages.macys.com/is/image/MCY/8907453 </v>
      </c>
    </row>
    <row r="9" spans="1:12" ht="39.950000000000003" customHeight="1" x14ac:dyDescent="0.25">
      <c r="A9" s="6" t="s">
        <v>3023</v>
      </c>
      <c r="B9" s="7" t="s">
        <v>3024</v>
      </c>
      <c r="C9" s="8">
        <v>1</v>
      </c>
      <c r="D9" s="9">
        <v>99.99</v>
      </c>
      <c r="E9" s="8" t="s">
        <v>3025</v>
      </c>
      <c r="F9" s="7" t="s">
        <v>2446</v>
      </c>
      <c r="G9" s="10" t="s">
        <v>2455</v>
      </c>
      <c r="H9" s="7" t="s">
        <v>2391</v>
      </c>
      <c r="I9" s="7" t="s">
        <v>2528</v>
      </c>
      <c r="J9" s="7" t="s">
        <v>2363</v>
      </c>
      <c r="K9" s="7" t="s">
        <v>2385</v>
      </c>
      <c r="L9" s="11" t="str">
        <f>HYPERLINK("http://slimages.macys.com/is/image/MCY/16494324 ")</f>
        <v xml:space="preserve">http://slimages.macys.com/is/image/MCY/16494324 </v>
      </c>
    </row>
    <row r="10" spans="1:12" ht="39.950000000000003" customHeight="1" x14ac:dyDescent="0.25">
      <c r="A10" s="6" t="s">
        <v>3121</v>
      </c>
      <c r="B10" s="7" t="s">
        <v>3122</v>
      </c>
      <c r="C10" s="8">
        <v>1</v>
      </c>
      <c r="D10" s="9">
        <v>99.99</v>
      </c>
      <c r="E10" s="8">
        <v>81357</v>
      </c>
      <c r="F10" s="7" t="s">
        <v>2505</v>
      </c>
      <c r="G10" s="10"/>
      <c r="H10" s="7" t="s">
        <v>2369</v>
      </c>
      <c r="I10" s="7" t="s">
        <v>3015</v>
      </c>
      <c r="J10" s="7" t="s">
        <v>2363</v>
      </c>
      <c r="K10" s="7" t="s">
        <v>3123</v>
      </c>
      <c r="L10" s="11" t="str">
        <f>HYPERLINK("http://slimages.macys.com/is/image/MCY/15003309 ")</f>
        <v xml:space="preserve">http://slimages.macys.com/is/image/MCY/15003309 </v>
      </c>
    </row>
    <row r="11" spans="1:12" ht="39.950000000000003" customHeight="1" x14ac:dyDescent="0.25">
      <c r="A11" s="6" t="s">
        <v>3124</v>
      </c>
      <c r="B11" s="7" t="s">
        <v>3125</v>
      </c>
      <c r="C11" s="8">
        <v>1</v>
      </c>
      <c r="D11" s="9">
        <v>94.99</v>
      </c>
      <c r="E11" s="8">
        <v>17073</v>
      </c>
      <c r="F11" s="7" t="s">
        <v>2355</v>
      </c>
      <c r="G11" s="10" t="s">
        <v>2554</v>
      </c>
      <c r="H11" s="7" t="s">
        <v>2407</v>
      </c>
      <c r="I11" s="7" t="s">
        <v>2542</v>
      </c>
      <c r="J11" s="7" t="s">
        <v>2363</v>
      </c>
      <c r="K11" s="7" t="s">
        <v>2421</v>
      </c>
      <c r="L11" s="11" t="str">
        <f>HYPERLINK("http://slimages.macys.com/is/image/MCY/12076525 ")</f>
        <v xml:space="preserve">http://slimages.macys.com/is/image/MCY/12076525 </v>
      </c>
    </row>
    <row r="12" spans="1:12" ht="39.950000000000003" customHeight="1" x14ac:dyDescent="0.25">
      <c r="A12" s="6" t="s">
        <v>2821</v>
      </c>
      <c r="B12" s="7" t="s">
        <v>2822</v>
      </c>
      <c r="C12" s="8">
        <v>1</v>
      </c>
      <c r="D12" s="9">
        <v>78.11</v>
      </c>
      <c r="E12" s="8" t="s">
        <v>2823</v>
      </c>
      <c r="F12" s="7"/>
      <c r="G12" s="10"/>
      <c r="H12" s="7" t="s">
        <v>2400</v>
      </c>
      <c r="I12" s="7" t="s">
        <v>2411</v>
      </c>
      <c r="J12" s="7"/>
      <c r="K12" s="7"/>
      <c r="L12" s="11" t="str">
        <f>HYPERLINK("http://slimages.macys.com/is/image/MCY/18266992 ")</f>
        <v xml:space="preserve">http://slimages.macys.com/is/image/MCY/18266992 </v>
      </c>
    </row>
    <row r="13" spans="1:12" ht="39.950000000000003" customHeight="1" x14ac:dyDescent="0.25">
      <c r="A13" s="6" t="s">
        <v>3126</v>
      </c>
      <c r="B13" s="7" t="s">
        <v>3127</v>
      </c>
      <c r="C13" s="8">
        <v>1</v>
      </c>
      <c r="D13" s="9">
        <v>119.99</v>
      </c>
      <c r="E13" s="8" t="s">
        <v>3128</v>
      </c>
      <c r="F13" s="7" t="s">
        <v>2477</v>
      </c>
      <c r="G13" s="10"/>
      <c r="H13" s="7" t="s">
        <v>2400</v>
      </c>
      <c r="I13" s="7" t="s">
        <v>2411</v>
      </c>
      <c r="J13" s="7" t="s">
        <v>2363</v>
      </c>
      <c r="K13" s="7" t="s">
        <v>3129</v>
      </c>
      <c r="L13" s="11" t="str">
        <f>HYPERLINK("http://slimages.macys.com/is/image/MCY/9274631 ")</f>
        <v xml:space="preserve">http://slimages.macys.com/is/image/MCY/9274631 </v>
      </c>
    </row>
    <row r="14" spans="1:12" ht="39.950000000000003" customHeight="1" x14ac:dyDescent="0.25">
      <c r="A14" s="6" t="s">
        <v>3130</v>
      </c>
      <c r="B14" s="7" t="s">
        <v>3131</v>
      </c>
      <c r="C14" s="8">
        <v>4</v>
      </c>
      <c r="D14" s="9">
        <v>267.95999999999998</v>
      </c>
      <c r="E14" s="8" t="s">
        <v>3132</v>
      </c>
      <c r="F14" s="7" t="s">
        <v>2495</v>
      </c>
      <c r="G14" s="10" t="s">
        <v>2455</v>
      </c>
      <c r="H14" s="7" t="s">
        <v>2391</v>
      </c>
      <c r="I14" s="7" t="s">
        <v>2528</v>
      </c>
      <c r="J14" s="7" t="s">
        <v>2363</v>
      </c>
      <c r="K14" s="7" t="s">
        <v>2385</v>
      </c>
      <c r="L14" s="11" t="str">
        <f>HYPERLINK("http://slimages.macys.com/is/image/MCY/16494315 ")</f>
        <v xml:space="preserve">http://slimages.macys.com/is/image/MCY/16494315 </v>
      </c>
    </row>
    <row r="15" spans="1:12" ht="39.950000000000003" customHeight="1" x14ac:dyDescent="0.25">
      <c r="A15" s="6" t="s">
        <v>3133</v>
      </c>
      <c r="B15" s="7" t="s">
        <v>3134</v>
      </c>
      <c r="C15" s="8">
        <v>1</v>
      </c>
      <c r="D15" s="9">
        <v>85.99</v>
      </c>
      <c r="E15" s="8" t="s">
        <v>3135</v>
      </c>
      <c r="F15" s="7" t="s">
        <v>2446</v>
      </c>
      <c r="G15" s="10"/>
      <c r="H15" s="7" t="s">
        <v>2391</v>
      </c>
      <c r="I15" s="7" t="s">
        <v>2839</v>
      </c>
      <c r="J15" s="7" t="s">
        <v>2363</v>
      </c>
      <c r="K15" s="7" t="s">
        <v>2385</v>
      </c>
      <c r="L15" s="11" t="str">
        <f>HYPERLINK("http://slimages.macys.com/is/image/MCY/13763751 ")</f>
        <v xml:space="preserve">http://slimages.macys.com/is/image/MCY/13763751 </v>
      </c>
    </row>
    <row r="16" spans="1:12" ht="39.950000000000003" customHeight="1" x14ac:dyDescent="0.25">
      <c r="A16" s="6" t="s">
        <v>3136</v>
      </c>
      <c r="B16" s="7" t="s">
        <v>3137</v>
      </c>
      <c r="C16" s="8">
        <v>1</v>
      </c>
      <c r="D16" s="9">
        <v>84.99</v>
      </c>
      <c r="E16" s="8" t="s">
        <v>3138</v>
      </c>
      <c r="F16" s="7" t="s">
        <v>2573</v>
      </c>
      <c r="G16" s="10"/>
      <c r="H16" s="7" t="s">
        <v>2391</v>
      </c>
      <c r="I16" s="7" t="s">
        <v>3139</v>
      </c>
      <c r="J16" s="7" t="s">
        <v>2363</v>
      </c>
      <c r="K16" s="7" t="s">
        <v>2371</v>
      </c>
      <c r="L16" s="11" t="str">
        <f>HYPERLINK("http://slimages.macys.com/is/image/MCY/11704647 ")</f>
        <v xml:space="preserve">http://slimages.macys.com/is/image/MCY/11704647 </v>
      </c>
    </row>
    <row r="17" spans="1:12" ht="39.950000000000003" customHeight="1" x14ac:dyDescent="0.25">
      <c r="A17" s="6" t="s">
        <v>3140</v>
      </c>
      <c r="B17" s="7" t="s">
        <v>3141</v>
      </c>
      <c r="C17" s="8">
        <v>1</v>
      </c>
      <c r="D17" s="9">
        <v>79.989999999999995</v>
      </c>
      <c r="E17" s="8" t="s">
        <v>3142</v>
      </c>
      <c r="F17" s="7" t="s">
        <v>3143</v>
      </c>
      <c r="G17" s="10"/>
      <c r="H17" s="7" t="s">
        <v>2375</v>
      </c>
      <c r="I17" s="7" t="s">
        <v>3144</v>
      </c>
      <c r="J17" s="7" t="s">
        <v>2363</v>
      </c>
      <c r="K17" s="7" t="s">
        <v>2389</v>
      </c>
      <c r="L17" s="11" t="str">
        <f>HYPERLINK("http://slimages.macys.com/is/image/MCY/14600992 ")</f>
        <v xml:space="preserve">http://slimages.macys.com/is/image/MCY/14600992 </v>
      </c>
    </row>
    <row r="18" spans="1:12" ht="39.950000000000003" customHeight="1" x14ac:dyDescent="0.25">
      <c r="A18" s="6" t="s">
        <v>3145</v>
      </c>
      <c r="B18" s="7" t="s">
        <v>3146</v>
      </c>
      <c r="C18" s="8">
        <v>1</v>
      </c>
      <c r="D18" s="9">
        <v>59.99</v>
      </c>
      <c r="E18" s="8" t="s">
        <v>3147</v>
      </c>
      <c r="F18" s="7" t="s">
        <v>2512</v>
      </c>
      <c r="G18" s="10"/>
      <c r="H18" s="7" t="s">
        <v>2432</v>
      </c>
      <c r="I18" s="7" t="s">
        <v>2433</v>
      </c>
      <c r="J18" s="7" t="s">
        <v>2363</v>
      </c>
      <c r="K18" s="7" t="s">
        <v>2421</v>
      </c>
      <c r="L18" s="11" t="str">
        <f>HYPERLINK("http://slimages.macys.com/is/image/MCY/8095477 ")</f>
        <v xml:space="preserve">http://slimages.macys.com/is/image/MCY/8095477 </v>
      </c>
    </row>
    <row r="19" spans="1:12" ht="39.950000000000003" customHeight="1" x14ac:dyDescent="0.25">
      <c r="A19" s="6" t="s">
        <v>3148</v>
      </c>
      <c r="B19" s="7" t="s">
        <v>3149</v>
      </c>
      <c r="C19" s="8">
        <v>1</v>
      </c>
      <c r="D19" s="9">
        <v>83.99</v>
      </c>
      <c r="E19" s="8" t="s">
        <v>3150</v>
      </c>
      <c r="F19" s="7" t="s">
        <v>2505</v>
      </c>
      <c r="G19" s="10"/>
      <c r="H19" s="7" t="s">
        <v>2391</v>
      </c>
      <c r="I19" s="7" t="s">
        <v>2437</v>
      </c>
      <c r="J19" s="7" t="s">
        <v>2363</v>
      </c>
      <c r="K19" s="7" t="s">
        <v>2385</v>
      </c>
      <c r="L19" s="11" t="str">
        <f>HYPERLINK("http://slimages.macys.com/is/image/MCY/11495940 ")</f>
        <v xml:space="preserve">http://slimages.macys.com/is/image/MCY/11495940 </v>
      </c>
    </row>
    <row r="20" spans="1:12" ht="39.950000000000003" customHeight="1" x14ac:dyDescent="0.25">
      <c r="A20" s="6" t="s">
        <v>3151</v>
      </c>
      <c r="B20" s="7" t="s">
        <v>3152</v>
      </c>
      <c r="C20" s="8">
        <v>1</v>
      </c>
      <c r="D20" s="9">
        <v>61.99</v>
      </c>
      <c r="E20" s="8" t="s">
        <v>3153</v>
      </c>
      <c r="F20" s="7" t="s">
        <v>2386</v>
      </c>
      <c r="G20" s="10"/>
      <c r="H20" s="7" t="s">
        <v>2391</v>
      </c>
      <c r="I20" s="7" t="s">
        <v>2653</v>
      </c>
      <c r="J20" s="7" t="s">
        <v>2363</v>
      </c>
      <c r="K20" s="7" t="s">
        <v>3154</v>
      </c>
      <c r="L20" s="11" t="str">
        <f>HYPERLINK("http://slimages.macys.com/is/image/MCY/13534556 ")</f>
        <v xml:space="preserve">http://slimages.macys.com/is/image/MCY/13534556 </v>
      </c>
    </row>
    <row r="21" spans="1:12" ht="39.950000000000003" customHeight="1" x14ac:dyDescent="0.25">
      <c r="A21" s="6" t="s">
        <v>2657</v>
      </c>
      <c r="B21" s="7" t="s">
        <v>2658</v>
      </c>
      <c r="C21" s="8">
        <v>1</v>
      </c>
      <c r="D21" s="9">
        <v>59.99</v>
      </c>
      <c r="E21" s="8" t="s">
        <v>2659</v>
      </c>
      <c r="F21" s="7" t="s">
        <v>2355</v>
      </c>
      <c r="G21" s="10" t="s">
        <v>2539</v>
      </c>
      <c r="H21" s="7" t="s">
        <v>2407</v>
      </c>
      <c r="I21" s="7" t="s">
        <v>2434</v>
      </c>
      <c r="J21" s="7"/>
      <c r="K21" s="7"/>
      <c r="L21" s="11" t="str">
        <f>HYPERLINK("http://slimages.macys.com/is/image/MCY/17546549 ")</f>
        <v xml:space="preserve">http://slimages.macys.com/is/image/MCY/17546549 </v>
      </c>
    </row>
    <row r="22" spans="1:12" ht="39.950000000000003" customHeight="1" x14ac:dyDescent="0.25">
      <c r="A22" s="6" t="s">
        <v>3155</v>
      </c>
      <c r="B22" s="7" t="s">
        <v>3156</v>
      </c>
      <c r="C22" s="8">
        <v>1</v>
      </c>
      <c r="D22" s="9">
        <v>69.989999999999995</v>
      </c>
      <c r="E22" s="8" t="s">
        <v>3157</v>
      </c>
      <c r="F22" s="7" t="s">
        <v>2362</v>
      </c>
      <c r="G22" s="10"/>
      <c r="H22" s="7" t="s">
        <v>2535</v>
      </c>
      <c r="I22" s="7" t="s">
        <v>2604</v>
      </c>
      <c r="J22" s="7" t="s">
        <v>2363</v>
      </c>
      <c r="K22" s="7"/>
      <c r="L22" s="11" t="str">
        <f>HYPERLINK("http://slimages.macys.com/is/image/MCY/10249494 ")</f>
        <v xml:space="preserve">http://slimages.macys.com/is/image/MCY/10249494 </v>
      </c>
    </row>
    <row r="23" spans="1:12" ht="39.950000000000003" customHeight="1" x14ac:dyDescent="0.25">
      <c r="A23" s="6" t="s">
        <v>3158</v>
      </c>
      <c r="B23" s="7" t="s">
        <v>3159</v>
      </c>
      <c r="C23" s="8">
        <v>1</v>
      </c>
      <c r="D23" s="9">
        <v>64.989999999999995</v>
      </c>
      <c r="E23" s="8" t="s">
        <v>3160</v>
      </c>
      <c r="F23" s="7" t="s">
        <v>2769</v>
      </c>
      <c r="G23" s="10"/>
      <c r="H23" s="7" t="s">
        <v>2391</v>
      </c>
      <c r="I23" s="7" t="s">
        <v>2839</v>
      </c>
      <c r="J23" s="7" t="s">
        <v>2363</v>
      </c>
      <c r="K23" s="7" t="s">
        <v>2385</v>
      </c>
      <c r="L23" s="11" t="str">
        <f>HYPERLINK("http://slimages.macys.com/is/image/MCY/13764287 ")</f>
        <v xml:space="preserve">http://slimages.macys.com/is/image/MCY/13764287 </v>
      </c>
    </row>
    <row r="24" spans="1:12" ht="39.950000000000003" customHeight="1" x14ac:dyDescent="0.25">
      <c r="A24" s="6" t="s">
        <v>2711</v>
      </c>
      <c r="B24" s="7" t="s">
        <v>2712</v>
      </c>
      <c r="C24" s="8">
        <v>1</v>
      </c>
      <c r="D24" s="9">
        <v>49.99</v>
      </c>
      <c r="E24" s="8" t="s">
        <v>2713</v>
      </c>
      <c r="F24" s="7" t="s">
        <v>2512</v>
      </c>
      <c r="G24" s="10"/>
      <c r="H24" s="7" t="s">
        <v>2369</v>
      </c>
      <c r="I24" s="7" t="s">
        <v>2370</v>
      </c>
      <c r="J24" s="7" t="s">
        <v>2363</v>
      </c>
      <c r="K24" s="7" t="s">
        <v>2385</v>
      </c>
      <c r="L24" s="11" t="str">
        <f>HYPERLINK("http://slimages.macys.com/is/image/MCY/8347198 ")</f>
        <v xml:space="preserve">http://slimages.macys.com/is/image/MCY/8347198 </v>
      </c>
    </row>
    <row r="25" spans="1:12" ht="39.950000000000003" customHeight="1" x14ac:dyDescent="0.25">
      <c r="A25" s="6" t="s">
        <v>3161</v>
      </c>
      <c r="B25" s="7" t="s">
        <v>3162</v>
      </c>
      <c r="C25" s="8">
        <v>1</v>
      </c>
      <c r="D25" s="9">
        <v>49.99</v>
      </c>
      <c r="E25" s="8" t="s">
        <v>3163</v>
      </c>
      <c r="F25" s="7"/>
      <c r="G25" s="10"/>
      <c r="H25" s="7" t="s">
        <v>2369</v>
      </c>
      <c r="I25" s="7" t="s">
        <v>2431</v>
      </c>
      <c r="J25" s="7"/>
      <c r="K25" s="7"/>
      <c r="L25" s="11" t="str">
        <f>HYPERLINK("http://slimages.macys.com/is/image/MCY/17892683 ")</f>
        <v xml:space="preserve">http://slimages.macys.com/is/image/MCY/17892683 </v>
      </c>
    </row>
    <row r="26" spans="1:12" ht="39.950000000000003" customHeight="1" x14ac:dyDescent="0.25">
      <c r="A26" s="6" t="s">
        <v>3164</v>
      </c>
      <c r="B26" s="7" t="s">
        <v>3165</v>
      </c>
      <c r="C26" s="8">
        <v>1</v>
      </c>
      <c r="D26" s="9">
        <v>49.99</v>
      </c>
      <c r="E26" s="8">
        <v>8614</v>
      </c>
      <c r="F26" s="7" t="s">
        <v>2355</v>
      </c>
      <c r="G26" s="10" t="s">
        <v>2554</v>
      </c>
      <c r="H26" s="7" t="s">
        <v>2407</v>
      </c>
      <c r="I26" s="7" t="s">
        <v>2462</v>
      </c>
      <c r="J26" s="7"/>
      <c r="K26" s="7"/>
      <c r="L26" s="11" t="str">
        <f>HYPERLINK("http://slimages.macys.com/is/image/MCY/17673715 ")</f>
        <v xml:space="preserve">http://slimages.macys.com/is/image/MCY/17673715 </v>
      </c>
    </row>
    <row r="27" spans="1:12" ht="39.950000000000003" customHeight="1" x14ac:dyDescent="0.25">
      <c r="A27" s="6" t="s">
        <v>3166</v>
      </c>
      <c r="B27" s="7" t="s">
        <v>3167</v>
      </c>
      <c r="C27" s="8">
        <v>1</v>
      </c>
      <c r="D27" s="9">
        <v>39.99</v>
      </c>
      <c r="E27" s="8">
        <v>22215238</v>
      </c>
      <c r="F27" s="7" t="s">
        <v>2446</v>
      </c>
      <c r="G27" s="10"/>
      <c r="H27" s="7" t="s">
        <v>2387</v>
      </c>
      <c r="I27" s="7" t="s">
        <v>2370</v>
      </c>
      <c r="J27" s="7"/>
      <c r="K27" s="7"/>
      <c r="L27" s="11" t="str">
        <f>HYPERLINK("http://slimages.macys.com/is/image/MCY/17177962 ")</f>
        <v xml:space="preserve">http://slimages.macys.com/is/image/MCY/17177962 </v>
      </c>
    </row>
    <row r="28" spans="1:12" ht="39.950000000000003" customHeight="1" x14ac:dyDescent="0.25">
      <c r="A28" s="6" t="s">
        <v>3168</v>
      </c>
      <c r="B28" s="7" t="s">
        <v>3169</v>
      </c>
      <c r="C28" s="8">
        <v>1</v>
      </c>
      <c r="D28" s="9">
        <v>39.99</v>
      </c>
      <c r="E28" s="8" t="s">
        <v>3170</v>
      </c>
      <c r="F28" s="7" t="s">
        <v>2424</v>
      </c>
      <c r="G28" s="10"/>
      <c r="H28" s="7" t="s">
        <v>2532</v>
      </c>
      <c r="I28" s="7" t="s">
        <v>2409</v>
      </c>
      <c r="J28" s="7" t="s">
        <v>2363</v>
      </c>
      <c r="K28" s="7" t="s">
        <v>2927</v>
      </c>
      <c r="L28" s="11" t="str">
        <f>HYPERLINK("http://slimages.macys.com/is/image/MCY/14332084 ")</f>
        <v xml:space="preserve">http://slimages.macys.com/is/image/MCY/14332084 </v>
      </c>
    </row>
    <row r="29" spans="1:12" ht="39.950000000000003" customHeight="1" x14ac:dyDescent="0.25">
      <c r="A29" s="6" t="s">
        <v>3171</v>
      </c>
      <c r="B29" s="7" t="s">
        <v>3172</v>
      </c>
      <c r="C29" s="8">
        <v>1</v>
      </c>
      <c r="D29" s="9">
        <v>39.99</v>
      </c>
      <c r="E29" s="8" t="s">
        <v>3173</v>
      </c>
      <c r="F29" s="7" t="s">
        <v>2601</v>
      </c>
      <c r="G29" s="10"/>
      <c r="H29" s="7" t="s">
        <v>2532</v>
      </c>
      <c r="I29" s="7" t="s">
        <v>2635</v>
      </c>
      <c r="J29" s="7"/>
      <c r="K29" s="7"/>
      <c r="L29" s="11" t="str">
        <f>HYPERLINK("http://slimages.macys.com/is/image/MCY/17804035 ")</f>
        <v xml:space="preserve">http://slimages.macys.com/is/image/MCY/17804035 </v>
      </c>
    </row>
    <row r="30" spans="1:12" ht="39.950000000000003" customHeight="1" x14ac:dyDescent="0.25">
      <c r="A30" s="6" t="s">
        <v>3174</v>
      </c>
      <c r="B30" s="7" t="s">
        <v>3175</v>
      </c>
      <c r="C30" s="8">
        <v>1</v>
      </c>
      <c r="D30" s="9">
        <v>39.99</v>
      </c>
      <c r="E30" s="8" t="s">
        <v>3176</v>
      </c>
      <c r="F30" s="7" t="s">
        <v>2512</v>
      </c>
      <c r="G30" s="10"/>
      <c r="H30" s="7" t="s">
        <v>2532</v>
      </c>
      <c r="I30" s="7" t="s">
        <v>2543</v>
      </c>
      <c r="J30" s="7"/>
      <c r="K30" s="7"/>
      <c r="L30" s="11" t="str">
        <f>HYPERLINK("http://slimages.macys.com/is/image/MCY/17724992 ")</f>
        <v xml:space="preserve">http://slimages.macys.com/is/image/MCY/17724992 </v>
      </c>
    </row>
    <row r="31" spans="1:12" ht="39.950000000000003" customHeight="1" x14ac:dyDescent="0.25">
      <c r="A31" s="6" t="s">
        <v>3177</v>
      </c>
      <c r="B31" s="7" t="s">
        <v>3178</v>
      </c>
      <c r="C31" s="8">
        <v>1</v>
      </c>
      <c r="D31" s="9">
        <v>29.99</v>
      </c>
      <c r="E31" s="8" t="s">
        <v>3179</v>
      </c>
      <c r="F31" s="7"/>
      <c r="G31" s="10"/>
      <c r="H31" s="7" t="s">
        <v>2391</v>
      </c>
      <c r="I31" s="7" t="s">
        <v>2673</v>
      </c>
      <c r="J31" s="7" t="s">
        <v>2363</v>
      </c>
      <c r="K31" s="7" t="s">
        <v>3180</v>
      </c>
      <c r="L31" s="11" t="str">
        <f>HYPERLINK("http://slimages.macys.com/is/image/MCY/16096291 ")</f>
        <v xml:space="preserve">http://slimages.macys.com/is/image/MCY/16096291 </v>
      </c>
    </row>
    <row r="32" spans="1:12" ht="39.950000000000003" customHeight="1" x14ac:dyDescent="0.25">
      <c r="A32" s="6" t="s">
        <v>3181</v>
      </c>
      <c r="B32" s="7" t="s">
        <v>3182</v>
      </c>
      <c r="C32" s="8">
        <v>1</v>
      </c>
      <c r="D32" s="9">
        <v>24.99</v>
      </c>
      <c r="E32" s="8">
        <v>21334138</v>
      </c>
      <c r="F32" s="7" t="s">
        <v>2355</v>
      </c>
      <c r="G32" s="10"/>
      <c r="H32" s="7" t="s">
        <v>2387</v>
      </c>
      <c r="I32" s="7" t="s">
        <v>2370</v>
      </c>
      <c r="J32" s="7" t="s">
        <v>2363</v>
      </c>
      <c r="K32" s="7"/>
      <c r="L32" s="11" t="str">
        <f>HYPERLINK("http://slimages.macys.com/is/image/MCY/15389781 ")</f>
        <v xml:space="preserve">http://slimages.macys.com/is/image/MCY/15389781 </v>
      </c>
    </row>
    <row r="33" spans="1:12" ht="39.950000000000003" customHeight="1" x14ac:dyDescent="0.25">
      <c r="A33" s="6" t="s">
        <v>3183</v>
      </c>
      <c r="B33" s="7" t="s">
        <v>3184</v>
      </c>
      <c r="C33" s="8">
        <v>2</v>
      </c>
      <c r="D33" s="9">
        <v>69.98</v>
      </c>
      <c r="E33" s="8" t="s">
        <v>3185</v>
      </c>
      <c r="F33" s="7" t="s">
        <v>2506</v>
      </c>
      <c r="G33" s="10"/>
      <c r="H33" s="7" t="s">
        <v>2532</v>
      </c>
      <c r="I33" s="7" t="s">
        <v>2409</v>
      </c>
      <c r="J33" s="7"/>
      <c r="K33" s="7"/>
      <c r="L33" s="11" t="str">
        <f>HYPERLINK("http://slimages.macys.com/is/image/MCY/16808108 ")</f>
        <v xml:space="preserve">http://slimages.macys.com/is/image/MCY/16808108 </v>
      </c>
    </row>
    <row r="34" spans="1:12" ht="39.950000000000003" customHeight="1" x14ac:dyDescent="0.25">
      <c r="A34" s="6" t="s">
        <v>3186</v>
      </c>
      <c r="B34" s="7" t="s">
        <v>3187</v>
      </c>
      <c r="C34" s="8">
        <v>1</v>
      </c>
      <c r="D34" s="9">
        <v>34.99</v>
      </c>
      <c r="E34" s="8" t="s">
        <v>3188</v>
      </c>
      <c r="F34" s="7" t="s">
        <v>2506</v>
      </c>
      <c r="G34" s="10"/>
      <c r="H34" s="7" t="s">
        <v>2532</v>
      </c>
      <c r="I34" s="7" t="s">
        <v>2409</v>
      </c>
      <c r="J34" s="7"/>
      <c r="K34" s="7"/>
      <c r="L34" s="11" t="str">
        <f>HYPERLINK("http://slimages.macys.com/is/image/MCY/16808109 ")</f>
        <v xml:space="preserve">http://slimages.macys.com/is/image/MCY/16808109 </v>
      </c>
    </row>
    <row r="35" spans="1:12" ht="39.950000000000003" customHeight="1" x14ac:dyDescent="0.25">
      <c r="A35" s="6" t="s">
        <v>2771</v>
      </c>
      <c r="B35" s="7" t="s">
        <v>2772</v>
      </c>
      <c r="C35" s="8">
        <v>1</v>
      </c>
      <c r="D35" s="9">
        <v>41.99</v>
      </c>
      <c r="E35" s="8" t="s">
        <v>2773</v>
      </c>
      <c r="F35" s="7" t="s">
        <v>2468</v>
      </c>
      <c r="G35" s="10" t="s">
        <v>2554</v>
      </c>
      <c r="H35" s="7" t="s">
        <v>2413</v>
      </c>
      <c r="I35" s="7" t="s">
        <v>2555</v>
      </c>
      <c r="J35" s="7" t="s">
        <v>2496</v>
      </c>
      <c r="K35" s="7"/>
      <c r="L35" s="11" t="str">
        <f>HYPERLINK("http://slimages.macys.com/is/image/MCY/9406085 ")</f>
        <v xml:space="preserve">http://slimages.macys.com/is/image/MCY/9406085 </v>
      </c>
    </row>
    <row r="36" spans="1:12" ht="39.950000000000003" customHeight="1" x14ac:dyDescent="0.25">
      <c r="A36" s="6" t="s">
        <v>3189</v>
      </c>
      <c r="B36" s="7" t="s">
        <v>3190</v>
      </c>
      <c r="C36" s="8">
        <v>1</v>
      </c>
      <c r="D36" s="9">
        <v>24.99</v>
      </c>
      <c r="E36" s="8" t="s">
        <v>3191</v>
      </c>
      <c r="F36" s="7" t="s">
        <v>2355</v>
      </c>
      <c r="G36" s="10"/>
      <c r="H36" s="7" t="s">
        <v>2532</v>
      </c>
      <c r="I36" s="7" t="s">
        <v>2370</v>
      </c>
      <c r="J36" s="7" t="s">
        <v>2363</v>
      </c>
      <c r="K36" s="7" t="s">
        <v>2385</v>
      </c>
      <c r="L36" s="11" t="str">
        <f>HYPERLINK("http://slimages.macys.com/is/image/MCY/15720264 ")</f>
        <v xml:space="preserve">http://slimages.macys.com/is/image/MCY/15720264 </v>
      </c>
    </row>
    <row r="37" spans="1:12" ht="39.950000000000003" customHeight="1" x14ac:dyDescent="0.25">
      <c r="A37" s="6" t="s">
        <v>3192</v>
      </c>
      <c r="B37" s="7" t="s">
        <v>3193</v>
      </c>
      <c r="C37" s="8">
        <v>1</v>
      </c>
      <c r="D37" s="9">
        <v>23.99</v>
      </c>
      <c r="E37" s="8" t="s">
        <v>3194</v>
      </c>
      <c r="F37" s="7" t="s">
        <v>2468</v>
      </c>
      <c r="G37" s="10" t="s">
        <v>2406</v>
      </c>
      <c r="H37" s="7" t="s">
        <v>2413</v>
      </c>
      <c r="I37" s="7" t="s">
        <v>2555</v>
      </c>
      <c r="J37" s="7" t="s">
        <v>2496</v>
      </c>
      <c r="K37" s="7"/>
      <c r="L37" s="11" t="str">
        <f>HYPERLINK("http://slimages.macys.com/is/image/MCY/9526176 ")</f>
        <v xml:space="preserve">http://slimages.macys.com/is/image/MCY/9526176 </v>
      </c>
    </row>
    <row r="38" spans="1:12" ht="39.950000000000003" customHeight="1" x14ac:dyDescent="0.25">
      <c r="A38" s="6" t="s">
        <v>3195</v>
      </c>
      <c r="B38" s="7" t="s">
        <v>3196</v>
      </c>
      <c r="C38" s="8">
        <v>1</v>
      </c>
      <c r="D38" s="9">
        <v>19.989999999999998</v>
      </c>
      <c r="E38" s="8" t="s">
        <v>3197</v>
      </c>
      <c r="F38" s="7" t="s">
        <v>2436</v>
      </c>
      <c r="G38" s="10" t="s">
        <v>2610</v>
      </c>
      <c r="H38" s="7" t="s">
        <v>2391</v>
      </c>
      <c r="I38" s="7" t="s">
        <v>2418</v>
      </c>
      <c r="J38" s="7"/>
      <c r="K38" s="7"/>
      <c r="L38" s="11" t="str">
        <f>HYPERLINK("http://slimages.macys.com/is/image/MCY/17566531 ")</f>
        <v xml:space="preserve">http://slimages.macys.com/is/image/MCY/17566531 </v>
      </c>
    </row>
    <row r="39" spans="1:12" ht="39.950000000000003" customHeight="1" x14ac:dyDescent="0.25">
      <c r="A39" s="6" t="s">
        <v>2867</v>
      </c>
      <c r="B39" s="7" t="s">
        <v>2868</v>
      </c>
      <c r="C39" s="8">
        <v>1</v>
      </c>
      <c r="D39" s="9">
        <v>19.989999999999998</v>
      </c>
      <c r="E39" s="8">
        <v>1005141300</v>
      </c>
      <c r="F39" s="7" t="s">
        <v>2446</v>
      </c>
      <c r="G39" s="10"/>
      <c r="H39" s="7" t="s">
        <v>2458</v>
      </c>
      <c r="I39" s="7" t="s">
        <v>2829</v>
      </c>
      <c r="J39" s="7" t="s">
        <v>2363</v>
      </c>
      <c r="K39" s="7" t="s">
        <v>2830</v>
      </c>
      <c r="L39" s="11" t="str">
        <f>HYPERLINK("http://slimages.macys.com/is/image/MCY/12042770 ")</f>
        <v xml:space="preserve">http://slimages.macys.com/is/image/MCY/12042770 </v>
      </c>
    </row>
    <row r="40" spans="1:12" ht="39.950000000000003" customHeight="1" x14ac:dyDescent="0.25">
      <c r="A40" s="6" t="s">
        <v>3198</v>
      </c>
      <c r="B40" s="7" t="s">
        <v>3199</v>
      </c>
      <c r="C40" s="8">
        <v>1</v>
      </c>
      <c r="D40" s="9">
        <v>15.99</v>
      </c>
      <c r="E40" s="8">
        <v>6473853</v>
      </c>
      <c r="F40" s="7" t="s">
        <v>2368</v>
      </c>
      <c r="G40" s="10" t="s">
        <v>3200</v>
      </c>
      <c r="H40" s="7" t="s">
        <v>2391</v>
      </c>
      <c r="I40" s="7" t="s">
        <v>2669</v>
      </c>
      <c r="J40" s="7" t="s">
        <v>2363</v>
      </c>
      <c r="K40" s="7" t="s">
        <v>2371</v>
      </c>
      <c r="L40" s="11" t="str">
        <f>HYPERLINK("http://slimages.macys.com/is/image/MCY/10044968 ")</f>
        <v xml:space="preserve">http://slimages.macys.com/is/image/MCY/10044968 </v>
      </c>
    </row>
    <row r="41" spans="1:12" ht="39.950000000000003" customHeight="1" x14ac:dyDescent="0.25">
      <c r="A41" s="6" t="s">
        <v>3201</v>
      </c>
      <c r="B41" s="7" t="s">
        <v>3202</v>
      </c>
      <c r="C41" s="8">
        <v>1</v>
      </c>
      <c r="D41" s="9">
        <v>39.99</v>
      </c>
      <c r="E41" s="8" t="s">
        <v>3203</v>
      </c>
      <c r="F41" s="7" t="s">
        <v>2615</v>
      </c>
      <c r="G41" s="10"/>
      <c r="H41" s="7" t="s">
        <v>2396</v>
      </c>
      <c r="I41" s="7" t="s">
        <v>2397</v>
      </c>
      <c r="J41" s="7" t="s">
        <v>2363</v>
      </c>
      <c r="K41" s="7"/>
      <c r="L41" s="11" t="str">
        <f>HYPERLINK("http://slimages.macys.com/is/image/MCY/8433239 ")</f>
        <v xml:space="preserve">http://slimages.macys.com/is/image/MCY/8433239 </v>
      </c>
    </row>
    <row r="42" spans="1:12" ht="39.950000000000003" customHeight="1" x14ac:dyDescent="0.25">
      <c r="A42" s="6" t="s">
        <v>3204</v>
      </c>
      <c r="B42" s="7" t="s">
        <v>3205</v>
      </c>
      <c r="C42" s="8">
        <v>1</v>
      </c>
      <c r="D42" s="9">
        <v>9.99</v>
      </c>
      <c r="E42" s="8" t="s">
        <v>3206</v>
      </c>
      <c r="F42" s="7" t="s">
        <v>2386</v>
      </c>
      <c r="G42" s="10" t="s">
        <v>2464</v>
      </c>
      <c r="H42" s="7" t="s">
        <v>2420</v>
      </c>
      <c r="I42" s="7" t="s">
        <v>2465</v>
      </c>
      <c r="J42" s="7" t="s">
        <v>2363</v>
      </c>
      <c r="K42" s="7" t="s">
        <v>3207</v>
      </c>
      <c r="L42" s="11" t="str">
        <f>HYPERLINK("http://slimages.macys.com/is/image/MCY/807332 ")</f>
        <v xml:space="preserve">http://slimages.macys.com/is/image/MCY/807332 </v>
      </c>
    </row>
    <row r="43" spans="1:12" ht="39.950000000000003" customHeight="1" x14ac:dyDescent="0.25">
      <c r="A43" s="6" t="s">
        <v>3208</v>
      </c>
      <c r="B43" s="7" t="s">
        <v>3209</v>
      </c>
      <c r="C43" s="8">
        <v>1</v>
      </c>
      <c r="D43" s="9">
        <v>5.99</v>
      </c>
      <c r="E43" s="8" t="s">
        <v>3210</v>
      </c>
      <c r="F43" s="7" t="s">
        <v>2512</v>
      </c>
      <c r="G43" s="10" t="s">
        <v>2616</v>
      </c>
      <c r="H43" s="7" t="s">
        <v>2420</v>
      </c>
      <c r="I43" s="7" t="s">
        <v>2433</v>
      </c>
      <c r="J43" s="7" t="s">
        <v>2363</v>
      </c>
      <c r="K43" s="7" t="s">
        <v>2389</v>
      </c>
      <c r="L43" s="11" t="str">
        <f>HYPERLINK("http://slimages.macys.com/is/image/MCY/11925396 ")</f>
        <v xml:space="preserve">http://slimages.macys.com/is/image/MCY/11925396 </v>
      </c>
    </row>
    <row r="44" spans="1:12" ht="39.950000000000003" customHeight="1" x14ac:dyDescent="0.25">
      <c r="A44" s="6" t="s">
        <v>3211</v>
      </c>
      <c r="B44" s="7" t="s">
        <v>3212</v>
      </c>
      <c r="C44" s="8">
        <v>1</v>
      </c>
      <c r="D44" s="9">
        <v>3.99</v>
      </c>
      <c r="E44" s="8" t="s">
        <v>3213</v>
      </c>
      <c r="F44" s="7" t="s">
        <v>3214</v>
      </c>
      <c r="G44" s="10" t="s">
        <v>2463</v>
      </c>
      <c r="H44" s="7" t="s">
        <v>2420</v>
      </c>
      <c r="I44" s="7" t="s">
        <v>2433</v>
      </c>
      <c r="J44" s="7"/>
      <c r="K44" s="7"/>
      <c r="L44" s="11" t="str">
        <f>HYPERLINK("http://slimages.macys.com/is/image/MCY/17493343 ")</f>
        <v xml:space="preserve">http://slimages.macys.com/is/image/MCY/17493343 </v>
      </c>
    </row>
    <row r="45" spans="1:12" ht="39.950000000000003" customHeight="1" x14ac:dyDescent="0.25">
      <c r="A45" s="6" t="s">
        <v>3215</v>
      </c>
      <c r="B45" s="7" t="s">
        <v>3216</v>
      </c>
      <c r="C45" s="8">
        <v>1</v>
      </c>
      <c r="D45" s="9">
        <v>86.99</v>
      </c>
      <c r="E45" s="8" t="s">
        <v>3217</v>
      </c>
      <c r="F45" s="7" t="s">
        <v>2477</v>
      </c>
      <c r="G45" s="10"/>
      <c r="H45" s="7" t="s">
        <v>2369</v>
      </c>
      <c r="I45" s="7" t="s">
        <v>2409</v>
      </c>
      <c r="J45" s="7"/>
      <c r="K45" s="7"/>
      <c r="L45" s="11"/>
    </row>
    <row r="46" spans="1:12" ht="39.950000000000003" customHeight="1" x14ac:dyDescent="0.25">
      <c r="A46" s="6" t="s">
        <v>2466</v>
      </c>
      <c r="B46" s="7" t="s">
        <v>2467</v>
      </c>
      <c r="C46" s="8">
        <v>9</v>
      </c>
      <c r="D46" s="9">
        <v>360</v>
      </c>
      <c r="E46" s="8"/>
      <c r="F46" s="7" t="s">
        <v>2468</v>
      </c>
      <c r="G46" s="10" t="s">
        <v>2469</v>
      </c>
      <c r="H46" s="7" t="s">
        <v>2470</v>
      </c>
      <c r="I46" s="7" t="s">
        <v>2471</v>
      </c>
      <c r="J46" s="7"/>
      <c r="K46" s="7"/>
      <c r="L46" s="11"/>
    </row>
    <row r="47" spans="1:12" ht="39.950000000000003" customHeight="1" x14ac:dyDescent="0.25">
      <c r="A47" s="6" t="s">
        <v>3218</v>
      </c>
      <c r="B47" s="7" t="s">
        <v>3219</v>
      </c>
      <c r="C47" s="8">
        <v>4</v>
      </c>
      <c r="D47" s="9">
        <v>159.96</v>
      </c>
      <c r="E47" s="8" t="s">
        <v>3220</v>
      </c>
      <c r="F47" s="7" t="s">
        <v>2355</v>
      </c>
      <c r="G47" s="10"/>
      <c r="H47" s="7" t="s">
        <v>2532</v>
      </c>
      <c r="I47" s="7" t="s">
        <v>2543</v>
      </c>
      <c r="J47" s="7"/>
      <c r="K47" s="7"/>
      <c r="L47" s="11"/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47"/>
  <sheetViews>
    <sheetView workbookViewId="0">
      <selection activeCell="B44" sqref="B44"/>
    </sheetView>
  </sheetViews>
  <sheetFormatPr defaultRowHeight="39.950000000000003" customHeight="1" x14ac:dyDescent="0.25"/>
  <cols>
    <col min="1" max="1" width="14.28515625" customWidth="1"/>
    <col min="2" max="2" width="48.5703125" customWidth="1"/>
    <col min="3" max="3" width="15" customWidth="1"/>
    <col min="4" max="4" width="10.28515625" customWidth="1"/>
    <col min="5" max="5" width="14.85546875" customWidth="1"/>
    <col min="6" max="7" width="11.4257812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2350</v>
      </c>
      <c r="I1" s="5" t="s">
        <v>2351</v>
      </c>
      <c r="J1" s="5" t="s">
        <v>2352</v>
      </c>
      <c r="K1" s="5" t="s">
        <v>2353</v>
      </c>
      <c r="L1" s="5" t="s">
        <v>2354</v>
      </c>
    </row>
    <row r="2" spans="1:12" ht="39.950000000000003" customHeight="1" x14ac:dyDescent="0.25">
      <c r="A2" s="6" t="s">
        <v>3221</v>
      </c>
      <c r="B2" s="7" t="s">
        <v>3222</v>
      </c>
      <c r="C2" s="8">
        <v>1</v>
      </c>
      <c r="D2" s="9">
        <v>399.99</v>
      </c>
      <c r="E2" s="8" t="s">
        <v>3223</v>
      </c>
      <c r="F2" s="7" t="s">
        <v>2534</v>
      </c>
      <c r="G2" s="10" t="s">
        <v>2356</v>
      </c>
      <c r="H2" s="7" t="s">
        <v>2383</v>
      </c>
      <c r="I2" s="7" t="s">
        <v>2474</v>
      </c>
      <c r="J2" s="7"/>
      <c r="K2" s="7"/>
      <c r="L2" s="11" t="str">
        <f>HYPERLINK("http://slimages.macys.com/is/image/MCY/1685723 ")</f>
        <v xml:space="preserve">http://slimages.macys.com/is/image/MCY/1685723 </v>
      </c>
    </row>
    <row r="3" spans="1:12" ht="39.950000000000003" customHeight="1" x14ac:dyDescent="0.25">
      <c r="A3" s="6" t="s">
        <v>3224</v>
      </c>
      <c r="B3" s="7" t="s">
        <v>3225</v>
      </c>
      <c r="C3" s="8">
        <v>1</v>
      </c>
      <c r="D3" s="9">
        <v>199.99</v>
      </c>
      <c r="E3" s="8" t="s">
        <v>3226</v>
      </c>
      <c r="F3" s="7"/>
      <c r="G3" s="10"/>
      <c r="H3" s="7" t="s">
        <v>2432</v>
      </c>
      <c r="I3" s="7" t="s">
        <v>2433</v>
      </c>
      <c r="J3" s="7" t="s">
        <v>2363</v>
      </c>
      <c r="K3" s="7" t="s">
        <v>3227</v>
      </c>
      <c r="L3" s="11" t="str">
        <f>HYPERLINK("http://slimages.macys.com/is/image/MCY/14376598 ")</f>
        <v xml:space="preserve">http://slimages.macys.com/is/image/MCY/14376598 </v>
      </c>
    </row>
    <row r="4" spans="1:12" ht="39.950000000000003" customHeight="1" x14ac:dyDescent="0.25">
      <c r="A4" s="6" t="s">
        <v>3228</v>
      </c>
      <c r="B4" s="7" t="s">
        <v>3229</v>
      </c>
      <c r="C4" s="8">
        <v>1</v>
      </c>
      <c r="D4" s="9">
        <v>249.99</v>
      </c>
      <c r="E4" s="8" t="s">
        <v>3230</v>
      </c>
      <c r="F4" s="7" t="s">
        <v>2495</v>
      </c>
      <c r="G4" s="10"/>
      <c r="H4" s="7" t="s">
        <v>2369</v>
      </c>
      <c r="I4" s="7" t="s">
        <v>2409</v>
      </c>
      <c r="J4" s="7" t="s">
        <v>2363</v>
      </c>
      <c r="K4" s="7" t="s">
        <v>3231</v>
      </c>
      <c r="L4" s="11" t="str">
        <f>HYPERLINK("http://slimages.macys.com/is/image/MCY/12493781 ")</f>
        <v xml:space="preserve">http://slimages.macys.com/is/image/MCY/12493781 </v>
      </c>
    </row>
    <row r="5" spans="1:12" ht="39.950000000000003" customHeight="1" x14ac:dyDescent="0.25">
      <c r="A5" s="6" t="s">
        <v>3232</v>
      </c>
      <c r="B5" s="7" t="s">
        <v>3233</v>
      </c>
      <c r="C5" s="8">
        <v>1</v>
      </c>
      <c r="D5" s="9">
        <v>149.99</v>
      </c>
      <c r="E5" s="8" t="s">
        <v>3234</v>
      </c>
      <c r="F5" s="7" t="s">
        <v>2424</v>
      </c>
      <c r="G5" s="10"/>
      <c r="H5" s="7" t="s">
        <v>2422</v>
      </c>
      <c r="I5" s="7" t="s">
        <v>2526</v>
      </c>
      <c r="J5" s="7" t="s">
        <v>2363</v>
      </c>
      <c r="K5" s="7" t="s">
        <v>2444</v>
      </c>
      <c r="L5" s="11" t="str">
        <f>HYPERLINK("http://slimages.macys.com/is/image/MCY/3663820 ")</f>
        <v xml:space="preserve">http://slimages.macys.com/is/image/MCY/3663820 </v>
      </c>
    </row>
    <row r="6" spans="1:12" ht="39.950000000000003" customHeight="1" x14ac:dyDescent="0.25">
      <c r="A6" s="6" t="s">
        <v>3235</v>
      </c>
      <c r="B6" s="7" t="s">
        <v>3236</v>
      </c>
      <c r="C6" s="8">
        <v>1</v>
      </c>
      <c r="D6" s="9">
        <v>149.99</v>
      </c>
      <c r="E6" s="8" t="s">
        <v>3237</v>
      </c>
      <c r="F6" s="7" t="s">
        <v>2457</v>
      </c>
      <c r="G6" s="10"/>
      <c r="H6" s="7" t="s">
        <v>2422</v>
      </c>
      <c r="I6" s="7" t="s">
        <v>2526</v>
      </c>
      <c r="J6" s="7" t="s">
        <v>2363</v>
      </c>
      <c r="K6" s="7" t="s">
        <v>2389</v>
      </c>
      <c r="L6" s="11" t="str">
        <f>HYPERLINK("http://slimages.macys.com/is/image/MCY/15661898 ")</f>
        <v xml:space="preserve">http://slimages.macys.com/is/image/MCY/15661898 </v>
      </c>
    </row>
    <row r="7" spans="1:12" ht="39.950000000000003" customHeight="1" x14ac:dyDescent="0.25">
      <c r="A7" s="6" t="s">
        <v>3238</v>
      </c>
      <c r="B7" s="7" t="s">
        <v>3239</v>
      </c>
      <c r="C7" s="8">
        <v>1</v>
      </c>
      <c r="D7" s="9">
        <v>159.99</v>
      </c>
      <c r="E7" s="8" t="s">
        <v>3240</v>
      </c>
      <c r="F7" s="7" t="s">
        <v>2454</v>
      </c>
      <c r="G7" s="10"/>
      <c r="H7" s="7" t="s">
        <v>2357</v>
      </c>
      <c r="I7" s="7" t="s">
        <v>2820</v>
      </c>
      <c r="J7" s="7" t="s">
        <v>2363</v>
      </c>
      <c r="K7" s="7" t="s">
        <v>2640</v>
      </c>
      <c r="L7" s="11" t="str">
        <f>HYPERLINK("http://slimages.macys.com/is/image/MCY/3573212 ")</f>
        <v xml:space="preserve">http://slimages.macys.com/is/image/MCY/3573212 </v>
      </c>
    </row>
    <row r="8" spans="1:12" ht="39.950000000000003" customHeight="1" x14ac:dyDescent="0.25">
      <c r="A8" s="6" t="s">
        <v>3241</v>
      </c>
      <c r="B8" s="7" t="s">
        <v>3242</v>
      </c>
      <c r="C8" s="8">
        <v>1</v>
      </c>
      <c r="D8" s="9">
        <v>129.99</v>
      </c>
      <c r="E8" s="8" t="s">
        <v>3243</v>
      </c>
      <c r="F8" s="7" t="s">
        <v>2419</v>
      </c>
      <c r="G8" s="10"/>
      <c r="H8" s="7" t="s">
        <v>2422</v>
      </c>
      <c r="I8" s="7" t="s">
        <v>2526</v>
      </c>
      <c r="J8" s="7" t="s">
        <v>2363</v>
      </c>
      <c r="K8" s="7" t="s">
        <v>2444</v>
      </c>
      <c r="L8" s="11" t="str">
        <f>HYPERLINK("http://slimages.macys.com/is/image/MCY/3663823 ")</f>
        <v xml:space="preserve">http://slimages.macys.com/is/image/MCY/3663823 </v>
      </c>
    </row>
    <row r="9" spans="1:12" ht="39.950000000000003" customHeight="1" x14ac:dyDescent="0.25">
      <c r="A9" s="6" t="s">
        <v>2488</v>
      </c>
      <c r="B9" s="7" t="s">
        <v>2489</v>
      </c>
      <c r="C9" s="8">
        <v>1</v>
      </c>
      <c r="D9" s="9">
        <v>149.99</v>
      </c>
      <c r="E9" s="8" t="s">
        <v>2490</v>
      </c>
      <c r="F9" s="7" t="s">
        <v>2355</v>
      </c>
      <c r="G9" s="10"/>
      <c r="H9" s="7" t="s">
        <v>2396</v>
      </c>
      <c r="I9" s="7" t="s">
        <v>2397</v>
      </c>
      <c r="J9" s="7" t="s">
        <v>2363</v>
      </c>
      <c r="K9" s="7" t="s">
        <v>2491</v>
      </c>
      <c r="L9" s="11" t="str">
        <f>HYPERLINK("http://slimages.macys.com/is/image/MCY/14883564 ")</f>
        <v xml:space="preserve">http://slimages.macys.com/is/image/MCY/14883564 </v>
      </c>
    </row>
    <row r="10" spans="1:12" ht="39.950000000000003" customHeight="1" x14ac:dyDescent="0.25">
      <c r="A10" s="6" t="s">
        <v>3244</v>
      </c>
      <c r="B10" s="7" t="s">
        <v>3245</v>
      </c>
      <c r="C10" s="8">
        <v>1</v>
      </c>
      <c r="D10" s="9">
        <v>199.99</v>
      </c>
      <c r="E10" s="8" t="s">
        <v>3246</v>
      </c>
      <c r="F10" s="7" t="s">
        <v>2495</v>
      </c>
      <c r="G10" s="10" t="s">
        <v>2595</v>
      </c>
      <c r="H10" s="7" t="s">
        <v>2357</v>
      </c>
      <c r="I10" s="7" t="s">
        <v>2704</v>
      </c>
      <c r="J10" s="7" t="s">
        <v>2363</v>
      </c>
      <c r="K10" s="7" t="s">
        <v>2416</v>
      </c>
      <c r="L10" s="11" t="str">
        <f>HYPERLINK("http://slimages.macys.com/is/image/MCY/8820200 ")</f>
        <v xml:space="preserve">http://slimages.macys.com/is/image/MCY/8820200 </v>
      </c>
    </row>
    <row r="11" spans="1:12" ht="39.950000000000003" customHeight="1" x14ac:dyDescent="0.25">
      <c r="A11" s="6" t="s">
        <v>3247</v>
      </c>
      <c r="B11" s="7" t="s">
        <v>3248</v>
      </c>
      <c r="C11" s="8">
        <v>1</v>
      </c>
      <c r="D11" s="9">
        <v>90.99</v>
      </c>
      <c r="E11" s="8" t="s">
        <v>3249</v>
      </c>
      <c r="F11" s="7" t="s">
        <v>2615</v>
      </c>
      <c r="G11" s="10"/>
      <c r="H11" s="7" t="s">
        <v>2391</v>
      </c>
      <c r="I11" s="7" t="s">
        <v>3250</v>
      </c>
      <c r="J11" s="7" t="s">
        <v>2363</v>
      </c>
      <c r="K11" s="7" t="s">
        <v>3251</v>
      </c>
      <c r="L11" s="11" t="str">
        <f>HYPERLINK("http://slimages.macys.com/is/image/MCY/12346990 ")</f>
        <v xml:space="preserve">http://slimages.macys.com/is/image/MCY/12346990 </v>
      </c>
    </row>
    <row r="12" spans="1:12" ht="39.950000000000003" customHeight="1" x14ac:dyDescent="0.25">
      <c r="A12" s="6" t="s">
        <v>3252</v>
      </c>
      <c r="B12" s="7" t="s">
        <v>3253</v>
      </c>
      <c r="C12" s="8">
        <v>1</v>
      </c>
      <c r="D12" s="9">
        <v>59.99</v>
      </c>
      <c r="E12" s="8" t="s">
        <v>3254</v>
      </c>
      <c r="F12" s="7" t="s">
        <v>2355</v>
      </c>
      <c r="G12" s="10"/>
      <c r="H12" s="7" t="s">
        <v>2383</v>
      </c>
      <c r="I12" s="7" t="s">
        <v>2617</v>
      </c>
      <c r="J12" s="7" t="s">
        <v>2363</v>
      </c>
      <c r="K12" s="7" t="s">
        <v>2389</v>
      </c>
      <c r="L12" s="11" t="str">
        <f>HYPERLINK("http://slimages.macys.com/is/image/MCY/15135548 ")</f>
        <v xml:space="preserve">http://slimages.macys.com/is/image/MCY/15135548 </v>
      </c>
    </row>
    <row r="13" spans="1:12" ht="39.950000000000003" customHeight="1" x14ac:dyDescent="0.25">
      <c r="A13" s="6" t="s">
        <v>3255</v>
      </c>
      <c r="B13" s="7" t="s">
        <v>3256</v>
      </c>
      <c r="C13" s="8">
        <v>1</v>
      </c>
      <c r="D13" s="9">
        <v>59.99</v>
      </c>
      <c r="E13" s="8" t="s">
        <v>3257</v>
      </c>
      <c r="F13" s="7" t="s">
        <v>2368</v>
      </c>
      <c r="G13" s="10" t="s">
        <v>2932</v>
      </c>
      <c r="H13" s="7" t="s">
        <v>2432</v>
      </c>
      <c r="I13" s="7" t="s">
        <v>2433</v>
      </c>
      <c r="J13" s="7" t="s">
        <v>2363</v>
      </c>
      <c r="K13" s="7"/>
      <c r="L13" s="11" t="str">
        <f>HYPERLINK("http://slimages.macys.com/is/image/MCY/10123000 ")</f>
        <v xml:space="preserve">http://slimages.macys.com/is/image/MCY/10123000 </v>
      </c>
    </row>
    <row r="14" spans="1:12" ht="39.950000000000003" customHeight="1" x14ac:dyDescent="0.25">
      <c r="A14" s="6" t="s">
        <v>3258</v>
      </c>
      <c r="B14" s="7" t="s">
        <v>3259</v>
      </c>
      <c r="C14" s="8">
        <v>1</v>
      </c>
      <c r="D14" s="9">
        <v>59.99</v>
      </c>
      <c r="E14" s="8">
        <v>82268</v>
      </c>
      <c r="F14" s="7" t="s">
        <v>2600</v>
      </c>
      <c r="G14" s="10"/>
      <c r="H14" s="7" t="s">
        <v>2369</v>
      </c>
      <c r="I14" s="7" t="s">
        <v>3015</v>
      </c>
      <c r="J14" s="7"/>
      <c r="K14" s="7"/>
      <c r="L14" s="11" t="str">
        <f>HYPERLINK("http://slimages.macys.com/is/image/MCY/17866635 ")</f>
        <v xml:space="preserve">http://slimages.macys.com/is/image/MCY/17866635 </v>
      </c>
    </row>
    <row r="15" spans="1:12" ht="39.950000000000003" customHeight="1" x14ac:dyDescent="0.25">
      <c r="A15" s="6" t="s">
        <v>3260</v>
      </c>
      <c r="B15" s="7" t="s">
        <v>3261</v>
      </c>
      <c r="C15" s="8">
        <v>2</v>
      </c>
      <c r="D15" s="9">
        <v>159.97999999999999</v>
      </c>
      <c r="E15" s="8">
        <v>10007925500</v>
      </c>
      <c r="F15" s="7" t="s">
        <v>2567</v>
      </c>
      <c r="G15" s="10"/>
      <c r="H15" s="7" t="s">
        <v>2357</v>
      </c>
      <c r="I15" s="7" t="s">
        <v>2476</v>
      </c>
      <c r="J15" s="7" t="s">
        <v>2363</v>
      </c>
      <c r="K15" s="7" t="s">
        <v>3262</v>
      </c>
      <c r="L15" s="11" t="str">
        <f>HYPERLINK("http://slimages.macys.com/is/image/MCY/15926398 ")</f>
        <v xml:space="preserve">http://slimages.macys.com/is/image/MCY/15926398 </v>
      </c>
    </row>
    <row r="16" spans="1:12" ht="39.950000000000003" customHeight="1" x14ac:dyDescent="0.25">
      <c r="A16" s="6" t="s">
        <v>2742</v>
      </c>
      <c r="B16" s="7" t="s">
        <v>2743</v>
      </c>
      <c r="C16" s="8">
        <v>1</v>
      </c>
      <c r="D16" s="9">
        <v>44.99</v>
      </c>
      <c r="E16" s="8" t="s">
        <v>2744</v>
      </c>
      <c r="F16" s="7" t="s">
        <v>2495</v>
      </c>
      <c r="G16" s="10"/>
      <c r="H16" s="7" t="s">
        <v>2532</v>
      </c>
      <c r="I16" s="7" t="s">
        <v>2409</v>
      </c>
      <c r="J16" s="7" t="s">
        <v>2363</v>
      </c>
      <c r="K16" s="7" t="s">
        <v>2421</v>
      </c>
      <c r="L16" s="11" t="str">
        <f>HYPERLINK("http://slimages.macys.com/is/image/MCY/11409030 ")</f>
        <v xml:space="preserve">http://slimages.macys.com/is/image/MCY/11409030 </v>
      </c>
    </row>
    <row r="17" spans="1:12" ht="39.950000000000003" customHeight="1" x14ac:dyDescent="0.25">
      <c r="A17" s="6" t="s">
        <v>3263</v>
      </c>
      <c r="B17" s="7" t="s">
        <v>3264</v>
      </c>
      <c r="C17" s="8">
        <v>1</v>
      </c>
      <c r="D17" s="9">
        <v>47.99</v>
      </c>
      <c r="E17" s="8" t="s">
        <v>3012</v>
      </c>
      <c r="F17" s="7" t="s">
        <v>2623</v>
      </c>
      <c r="G17" s="10" t="s">
        <v>2356</v>
      </c>
      <c r="H17" s="7" t="s">
        <v>2545</v>
      </c>
      <c r="I17" s="7" t="s">
        <v>2546</v>
      </c>
      <c r="J17" s="7" t="s">
        <v>2363</v>
      </c>
      <c r="K17" s="7" t="s">
        <v>2385</v>
      </c>
      <c r="L17" s="11" t="str">
        <f>HYPERLINK("http://slimages.macys.com/is/image/MCY/9489266 ")</f>
        <v xml:space="preserve">http://slimages.macys.com/is/image/MCY/9489266 </v>
      </c>
    </row>
    <row r="18" spans="1:12" ht="39.950000000000003" customHeight="1" x14ac:dyDescent="0.25">
      <c r="A18" s="6" t="s">
        <v>3168</v>
      </c>
      <c r="B18" s="7" t="s">
        <v>3169</v>
      </c>
      <c r="C18" s="8">
        <v>1</v>
      </c>
      <c r="D18" s="9">
        <v>39.99</v>
      </c>
      <c r="E18" s="8" t="s">
        <v>3170</v>
      </c>
      <c r="F18" s="7" t="s">
        <v>2424</v>
      </c>
      <c r="G18" s="10"/>
      <c r="H18" s="7" t="s">
        <v>2532</v>
      </c>
      <c r="I18" s="7" t="s">
        <v>2409</v>
      </c>
      <c r="J18" s="7" t="s">
        <v>2363</v>
      </c>
      <c r="K18" s="7" t="s">
        <v>2927</v>
      </c>
      <c r="L18" s="11" t="str">
        <f>HYPERLINK("http://slimages.macys.com/is/image/MCY/14332084 ")</f>
        <v xml:space="preserve">http://slimages.macys.com/is/image/MCY/14332084 </v>
      </c>
    </row>
    <row r="19" spans="1:12" ht="39.950000000000003" customHeight="1" x14ac:dyDescent="0.25">
      <c r="A19" s="6" t="s">
        <v>3265</v>
      </c>
      <c r="B19" s="7" t="s">
        <v>3266</v>
      </c>
      <c r="C19" s="8">
        <v>1</v>
      </c>
      <c r="D19" s="9">
        <v>34.99</v>
      </c>
      <c r="E19" s="8" t="s">
        <v>3267</v>
      </c>
      <c r="F19" s="7" t="s">
        <v>2534</v>
      </c>
      <c r="G19" s="10"/>
      <c r="H19" s="7" t="s">
        <v>2532</v>
      </c>
      <c r="I19" s="7" t="s">
        <v>2602</v>
      </c>
      <c r="J19" s="7" t="s">
        <v>2363</v>
      </c>
      <c r="K19" s="7" t="s">
        <v>2385</v>
      </c>
      <c r="L19" s="11" t="str">
        <f>HYPERLINK("http://slimages.macys.com/is/image/MCY/15394404 ")</f>
        <v xml:space="preserve">http://slimages.macys.com/is/image/MCY/15394404 </v>
      </c>
    </row>
    <row r="20" spans="1:12" ht="39.950000000000003" customHeight="1" x14ac:dyDescent="0.25">
      <c r="A20" s="6" t="s">
        <v>3268</v>
      </c>
      <c r="B20" s="7" t="s">
        <v>3269</v>
      </c>
      <c r="C20" s="8">
        <v>1</v>
      </c>
      <c r="D20" s="9">
        <v>38.99</v>
      </c>
      <c r="E20" s="8" t="s">
        <v>3270</v>
      </c>
      <c r="F20" s="7" t="s">
        <v>2615</v>
      </c>
      <c r="G20" s="10"/>
      <c r="H20" s="7" t="s">
        <v>2369</v>
      </c>
      <c r="I20" s="7" t="s">
        <v>2409</v>
      </c>
      <c r="J20" s="7" t="s">
        <v>2363</v>
      </c>
      <c r="K20" s="7" t="s">
        <v>3271</v>
      </c>
      <c r="L20" s="11" t="str">
        <f>HYPERLINK("http://slimages.macys.com/is/image/MCY/9762840 ")</f>
        <v xml:space="preserve">http://slimages.macys.com/is/image/MCY/9762840 </v>
      </c>
    </row>
    <row r="21" spans="1:12" ht="39.950000000000003" customHeight="1" x14ac:dyDescent="0.25">
      <c r="A21" s="6" t="s">
        <v>3272</v>
      </c>
      <c r="B21" s="7" t="s">
        <v>3273</v>
      </c>
      <c r="C21" s="8">
        <v>3</v>
      </c>
      <c r="D21" s="9">
        <v>119.97</v>
      </c>
      <c r="E21" s="8">
        <v>100071320</v>
      </c>
      <c r="F21" s="7" t="s">
        <v>2912</v>
      </c>
      <c r="G21" s="10" t="s">
        <v>2501</v>
      </c>
      <c r="H21" s="7" t="s">
        <v>2427</v>
      </c>
      <c r="I21" s="7" t="s">
        <v>3274</v>
      </c>
      <c r="J21" s="7" t="s">
        <v>2363</v>
      </c>
      <c r="K21" s="7"/>
      <c r="L21" s="11" t="str">
        <f>HYPERLINK("http://slimages.macys.com/is/image/MCY/14337667 ")</f>
        <v xml:space="preserve">http://slimages.macys.com/is/image/MCY/14337667 </v>
      </c>
    </row>
    <row r="22" spans="1:12" ht="39.950000000000003" customHeight="1" x14ac:dyDescent="0.25">
      <c r="A22" s="6" t="s">
        <v>3275</v>
      </c>
      <c r="B22" s="7" t="s">
        <v>3276</v>
      </c>
      <c r="C22" s="8">
        <v>1</v>
      </c>
      <c r="D22" s="9">
        <v>33.99</v>
      </c>
      <c r="E22" s="8" t="s">
        <v>3277</v>
      </c>
      <c r="F22" s="7" t="s">
        <v>2386</v>
      </c>
      <c r="G22" s="10" t="s">
        <v>2455</v>
      </c>
      <c r="H22" s="7" t="s">
        <v>2391</v>
      </c>
      <c r="I22" s="7" t="s">
        <v>2528</v>
      </c>
      <c r="J22" s="7" t="s">
        <v>2363</v>
      </c>
      <c r="K22" s="7" t="s">
        <v>2385</v>
      </c>
      <c r="L22" s="11" t="str">
        <f>HYPERLINK("http://slimages.macys.com/is/image/MCY/16494293 ")</f>
        <v xml:space="preserve">http://slimages.macys.com/is/image/MCY/16494293 </v>
      </c>
    </row>
    <row r="23" spans="1:12" ht="39.950000000000003" customHeight="1" x14ac:dyDescent="0.25">
      <c r="A23" s="6" t="s">
        <v>3278</v>
      </c>
      <c r="B23" s="7" t="s">
        <v>3279</v>
      </c>
      <c r="C23" s="8">
        <v>1</v>
      </c>
      <c r="D23" s="9">
        <v>33.99</v>
      </c>
      <c r="E23" s="8" t="s">
        <v>3280</v>
      </c>
      <c r="F23" s="7" t="s">
        <v>2446</v>
      </c>
      <c r="G23" s="10"/>
      <c r="H23" s="7" t="s">
        <v>2532</v>
      </c>
      <c r="I23" s="7" t="s">
        <v>2431</v>
      </c>
      <c r="J23" s="7" t="s">
        <v>2363</v>
      </c>
      <c r="K23" s="7" t="s">
        <v>2385</v>
      </c>
      <c r="L23" s="11" t="str">
        <f>HYPERLINK("http://slimages.macys.com/is/image/MCY/14633764 ")</f>
        <v xml:space="preserve">http://slimages.macys.com/is/image/MCY/14633764 </v>
      </c>
    </row>
    <row r="24" spans="1:12" ht="39.950000000000003" customHeight="1" x14ac:dyDescent="0.25">
      <c r="A24" s="6" t="s">
        <v>3281</v>
      </c>
      <c r="B24" s="7" t="s">
        <v>3282</v>
      </c>
      <c r="C24" s="8">
        <v>1</v>
      </c>
      <c r="D24" s="9">
        <v>30.99</v>
      </c>
      <c r="E24" s="8" t="s">
        <v>3283</v>
      </c>
      <c r="F24" s="7" t="s">
        <v>2355</v>
      </c>
      <c r="G24" s="10"/>
      <c r="H24" s="7" t="s">
        <v>2391</v>
      </c>
      <c r="I24" s="7" t="s">
        <v>2409</v>
      </c>
      <c r="J24" s="7" t="s">
        <v>2363</v>
      </c>
      <c r="K24" s="7"/>
      <c r="L24" s="11" t="str">
        <f>HYPERLINK("http://slimages.macys.com/is/image/MCY/10010883 ")</f>
        <v xml:space="preserve">http://slimages.macys.com/is/image/MCY/10010883 </v>
      </c>
    </row>
    <row r="25" spans="1:12" ht="39.950000000000003" customHeight="1" x14ac:dyDescent="0.25">
      <c r="A25" s="6" t="s">
        <v>3284</v>
      </c>
      <c r="B25" s="7" t="s">
        <v>3285</v>
      </c>
      <c r="C25" s="8">
        <v>1</v>
      </c>
      <c r="D25" s="9">
        <v>26.99</v>
      </c>
      <c r="E25" s="8" t="s">
        <v>3286</v>
      </c>
      <c r="F25" s="7" t="s">
        <v>2475</v>
      </c>
      <c r="G25" s="10"/>
      <c r="H25" s="7" t="s">
        <v>2391</v>
      </c>
      <c r="I25" s="7" t="s">
        <v>2528</v>
      </c>
      <c r="J25" s="7" t="s">
        <v>2363</v>
      </c>
      <c r="K25" s="7"/>
      <c r="L25" s="11" t="str">
        <f>HYPERLINK("http://slimages.macys.com/is/image/MCY/8501242 ")</f>
        <v xml:space="preserve">http://slimages.macys.com/is/image/MCY/8501242 </v>
      </c>
    </row>
    <row r="26" spans="1:12" ht="39.950000000000003" customHeight="1" x14ac:dyDescent="0.25">
      <c r="A26" s="6" t="s">
        <v>3287</v>
      </c>
      <c r="B26" s="7" t="s">
        <v>3288</v>
      </c>
      <c r="C26" s="8">
        <v>1</v>
      </c>
      <c r="D26" s="9">
        <v>29.99</v>
      </c>
      <c r="E26" s="8" t="s">
        <v>3289</v>
      </c>
      <c r="F26" s="7" t="s">
        <v>2446</v>
      </c>
      <c r="G26" s="10"/>
      <c r="H26" s="7" t="s">
        <v>2535</v>
      </c>
      <c r="I26" s="7" t="s">
        <v>2561</v>
      </c>
      <c r="J26" s="7" t="s">
        <v>2363</v>
      </c>
      <c r="K26" s="7" t="s">
        <v>2385</v>
      </c>
      <c r="L26" s="11" t="str">
        <f>HYPERLINK("http://slimages.macys.com/is/image/MCY/8589764 ")</f>
        <v xml:space="preserve">http://slimages.macys.com/is/image/MCY/8589764 </v>
      </c>
    </row>
    <row r="27" spans="1:12" ht="39.950000000000003" customHeight="1" x14ac:dyDescent="0.25">
      <c r="A27" s="6" t="s">
        <v>3290</v>
      </c>
      <c r="B27" s="7" t="s">
        <v>3291</v>
      </c>
      <c r="C27" s="8">
        <v>1</v>
      </c>
      <c r="D27" s="9">
        <v>29.99</v>
      </c>
      <c r="E27" s="8" t="s">
        <v>3292</v>
      </c>
      <c r="F27" s="7" t="s">
        <v>2558</v>
      </c>
      <c r="G27" s="10"/>
      <c r="H27" s="7" t="s">
        <v>2532</v>
      </c>
      <c r="I27" s="7" t="s">
        <v>2409</v>
      </c>
      <c r="J27" s="7" t="s">
        <v>2363</v>
      </c>
      <c r="K27" s="7" t="s">
        <v>2385</v>
      </c>
      <c r="L27" s="11" t="str">
        <f>HYPERLINK("http://slimages.macys.com/is/image/MCY/10082118 ")</f>
        <v xml:space="preserve">http://slimages.macys.com/is/image/MCY/10082118 </v>
      </c>
    </row>
    <row r="28" spans="1:12" ht="39.950000000000003" customHeight="1" x14ac:dyDescent="0.25">
      <c r="A28" s="6" t="s">
        <v>3293</v>
      </c>
      <c r="B28" s="7" t="s">
        <v>3294</v>
      </c>
      <c r="C28" s="8">
        <v>1</v>
      </c>
      <c r="D28" s="9">
        <v>25.99</v>
      </c>
      <c r="E28" s="8">
        <v>56575</v>
      </c>
      <c r="F28" s="7" t="s">
        <v>2368</v>
      </c>
      <c r="G28" s="10"/>
      <c r="H28" s="7" t="s">
        <v>2391</v>
      </c>
      <c r="I28" s="7" t="s">
        <v>2456</v>
      </c>
      <c r="J28" s="7" t="s">
        <v>2363</v>
      </c>
      <c r="K28" s="7" t="s">
        <v>2385</v>
      </c>
      <c r="L28" s="11" t="str">
        <f>HYPERLINK("http://slimages.macys.com/is/image/MCY/16060270 ")</f>
        <v xml:space="preserve">http://slimages.macys.com/is/image/MCY/16060270 </v>
      </c>
    </row>
    <row r="29" spans="1:12" ht="39.950000000000003" customHeight="1" x14ac:dyDescent="0.25">
      <c r="A29" s="6" t="s">
        <v>3295</v>
      </c>
      <c r="B29" s="7" t="s">
        <v>2636</v>
      </c>
      <c r="C29" s="8">
        <v>1</v>
      </c>
      <c r="D29" s="9">
        <v>26.99</v>
      </c>
      <c r="E29" s="8" t="s">
        <v>3296</v>
      </c>
      <c r="F29" s="7"/>
      <c r="G29" s="10"/>
      <c r="H29" s="7" t="s">
        <v>2532</v>
      </c>
      <c r="I29" s="7" t="s">
        <v>2533</v>
      </c>
      <c r="J29" s="7" t="s">
        <v>2363</v>
      </c>
      <c r="K29" s="7" t="s">
        <v>2385</v>
      </c>
      <c r="L29" s="11" t="str">
        <f>HYPERLINK("http://slimages.macys.com/is/image/MCY/14400771 ")</f>
        <v xml:space="preserve">http://slimages.macys.com/is/image/MCY/14400771 </v>
      </c>
    </row>
    <row r="30" spans="1:12" ht="39.950000000000003" customHeight="1" x14ac:dyDescent="0.25">
      <c r="A30" s="6" t="s">
        <v>3297</v>
      </c>
      <c r="B30" s="7" t="s">
        <v>3298</v>
      </c>
      <c r="C30" s="8">
        <v>1</v>
      </c>
      <c r="D30" s="9">
        <v>24.99</v>
      </c>
      <c r="E30" s="8" t="s">
        <v>3299</v>
      </c>
      <c r="F30" s="7" t="s">
        <v>2419</v>
      </c>
      <c r="G30" s="10"/>
      <c r="H30" s="7" t="s">
        <v>2535</v>
      </c>
      <c r="I30" s="7" t="s">
        <v>2604</v>
      </c>
      <c r="J30" s="7" t="s">
        <v>2363</v>
      </c>
      <c r="K30" s="7" t="s">
        <v>2385</v>
      </c>
      <c r="L30" s="11" t="str">
        <f>HYPERLINK("http://slimages.macys.com/is/image/MCY/2861128 ")</f>
        <v xml:space="preserve">http://slimages.macys.com/is/image/MCY/2861128 </v>
      </c>
    </row>
    <row r="31" spans="1:12" ht="39.950000000000003" customHeight="1" x14ac:dyDescent="0.25">
      <c r="A31" s="6" t="s">
        <v>3300</v>
      </c>
      <c r="B31" s="7" t="s">
        <v>3301</v>
      </c>
      <c r="C31" s="8">
        <v>1</v>
      </c>
      <c r="D31" s="9">
        <v>29.99</v>
      </c>
      <c r="E31" s="8">
        <v>82261</v>
      </c>
      <c r="F31" s="7" t="s">
        <v>2567</v>
      </c>
      <c r="G31" s="10"/>
      <c r="H31" s="7" t="s">
        <v>2369</v>
      </c>
      <c r="I31" s="7" t="s">
        <v>3015</v>
      </c>
      <c r="J31" s="7"/>
      <c r="K31" s="7"/>
      <c r="L31" s="11" t="str">
        <f>HYPERLINK("http://slimages.macys.com/is/image/MCY/17863027 ")</f>
        <v xml:space="preserve">http://slimages.macys.com/is/image/MCY/17863027 </v>
      </c>
    </row>
    <row r="32" spans="1:12" ht="39.950000000000003" customHeight="1" x14ac:dyDescent="0.25">
      <c r="A32" s="6" t="s">
        <v>3302</v>
      </c>
      <c r="B32" s="7" t="s">
        <v>3303</v>
      </c>
      <c r="C32" s="8">
        <v>1</v>
      </c>
      <c r="D32" s="9">
        <v>35.99</v>
      </c>
      <c r="E32" s="8" t="s">
        <v>3304</v>
      </c>
      <c r="F32" s="7" t="s">
        <v>2355</v>
      </c>
      <c r="G32" s="10" t="s">
        <v>2410</v>
      </c>
      <c r="H32" s="7" t="s">
        <v>2545</v>
      </c>
      <c r="I32" s="7" t="s">
        <v>2546</v>
      </c>
      <c r="J32" s="7" t="s">
        <v>2496</v>
      </c>
      <c r="K32" s="7" t="s">
        <v>2385</v>
      </c>
      <c r="L32" s="11" t="str">
        <f>HYPERLINK("http://slimages.macys.com/is/image/MCY/9489266 ")</f>
        <v xml:space="preserve">http://slimages.macys.com/is/image/MCY/9489266 </v>
      </c>
    </row>
    <row r="33" spans="1:12" ht="39.950000000000003" customHeight="1" x14ac:dyDescent="0.25">
      <c r="A33" s="6" t="s">
        <v>3305</v>
      </c>
      <c r="B33" s="7" t="s">
        <v>3306</v>
      </c>
      <c r="C33" s="8">
        <v>1</v>
      </c>
      <c r="D33" s="9">
        <v>24.99</v>
      </c>
      <c r="E33" s="8">
        <v>55980</v>
      </c>
      <c r="F33" s="7" t="s">
        <v>2446</v>
      </c>
      <c r="G33" s="10"/>
      <c r="H33" s="7" t="s">
        <v>2391</v>
      </c>
      <c r="I33" s="7" t="s">
        <v>2456</v>
      </c>
      <c r="J33" s="7" t="s">
        <v>2363</v>
      </c>
      <c r="K33" s="7" t="s">
        <v>2385</v>
      </c>
      <c r="L33" s="11" t="str">
        <f>HYPERLINK("http://slimages.macys.com/is/image/MCY/14663202 ")</f>
        <v xml:space="preserve">http://slimages.macys.com/is/image/MCY/14663202 </v>
      </c>
    </row>
    <row r="34" spans="1:12" ht="39.950000000000003" customHeight="1" x14ac:dyDescent="0.25">
      <c r="A34" s="6" t="s">
        <v>3307</v>
      </c>
      <c r="B34" s="7" t="s">
        <v>3308</v>
      </c>
      <c r="C34" s="8">
        <v>2</v>
      </c>
      <c r="D34" s="9">
        <v>41.98</v>
      </c>
      <c r="E34" s="8">
        <v>56513</v>
      </c>
      <c r="F34" s="7" t="s">
        <v>2355</v>
      </c>
      <c r="G34" s="10"/>
      <c r="H34" s="7" t="s">
        <v>2391</v>
      </c>
      <c r="I34" s="7" t="s">
        <v>2456</v>
      </c>
      <c r="J34" s="7" t="s">
        <v>2363</v>
      </c>
      <c r="K34" s="7" t="s">
        <v>2385</v>
      </c>
      <c r="L34" s="11" t="str">
        <f>HYPERLINK("http://slimages.macys.com/is/image/MCY/16060035 ")</f>
        <v xml:space="preserve">http://slimages.macys.com/is/image/MCY/16060035 </v>
      </c>
    </row>
    <row r="35" spans="1:12" ht="39.950000000000003" customHeight="1" x14ac:dyDescent="0.25">
      <c r="A35" s="6" t="s">
        <v>3309</v>
      </c>
      <c r="B35" s="7" t="s">
        <v>3310</v>
      </c>
      <c r="C35" s="8">
        <v>1</v>
      </c>
      <c r="D35" s="9">
        <v>34.99</v>
      </c>
      <c r="E35" s="8" t="s">
        <v>3311</v>
      </c>
      <c r="F35" s="7" t="s">
        <v>2362</v>
      </c>
      <c r="G35" s="10"/>
      <c r="H35" s="7" t="s">
        <v>2375</v>
      </c>
      <c r="I35" s="7" t="s">
        <v>3312</v>
      </c>
      <c r="J35" s="7" t="s">
        <v>2363</v>
      </c>
      <c r="K35" s="7" t="s">
        <v>2385</v>
      </c>
      <c r="L35" s="11" t="str">
        <f>HYPERLINK("http://slimages.macys.com/is/image/MCY/14601403 ")</f>
        <v xml:space="preserve">http://slimages.macys.com/is/image/MCY/14601403 </v>
      </c>
    </row>
    <row r="36" spans="1:12" ht="39.950000000000003" customHeight="1" x14ac:dyDescent="0.25">
      <c r="A36" s="6" t="s">
        <v>3313</v>
      </c>
      <c r="B36" s="7" t="s">
        <v>3314</v>
      </c>
      <c r="C36" s="8">
        <v>1</v>
      </c>
      <c r="D36" s="9">
        <v>19.989999999999998</v>
      </c>
      <c r="E36" s="8" t="s">
        <v>3315</v>
      </c>
      <c r="F36" s="7" t="s">
        <v>2567</v>
      </c>
      <c r="G36" s="10"/>
      <c r="H36" s="7" t="s">
        <v>2532</v>
      </c>
      <c r="I36" s="7" t="s">
        <v>2409</v>
      </c>
      <c r="J36" s="7" t="s">
        <v>2363</v>
      </c>
      <c r="K36" s="7" t="s">
        <v>2421</v>
      </c>
      <c r="L36" s="11" t="str">
        <f>HYPERLINK("http://slimages.macys.com/is/image/MCY/16685243 ")</f>
        <v xml:space="preserve">http://slimages.macys.com/is/image/MCY/16685243 </v>
      </c>
    </row>
    <row r="37" spans="1:12" ht="39.950000000000003" customHeight="1" x14ac:dyDescent="0.25">
      <c r="A37" s="6" t="s">
        <v>3316</v>
      </c>
      <c r="B37" s="7" t="s">
        <v>3317</v>
      </c>
      <c r="C37" s="8">
        <v>1</v>
      </c>
      <c r="D37" s="9">
        <v>29.99</v>
      </c>
      <c r="E37" s="8" t="s">
        <v>3318</v>
      </c>
      <c r="F37" s="7" t="s">
        <v>2355</v>
      </c>
      <c r="G37" s="10"/>
      <c r="H37" s="7" t="s">
        <v>2396</v>
      </c>
      <c r="I37" s="7" t="s">
        <v>2397</v>
      </c>
      <c r="J37" s="7" t="s">
        <v>2363</v>
      </c>
      <c r="K37" s="7" t="s">
        <v>2697</v>
      </c>
      <c r="L37" s="11" t="str">
        <f>HYPERLINK("http://slimages.macys.com/is/image/MCY/16424611 ")</f>
        <v xml:space="preserve">http://slimages.macys.com/is/image/MCY/16424611 </v>
      </c>
    </row>
    <row r="38" spans="1:12" ht="39.950000000000003" customHeight="1" x14ac:dyDescent="0.25">
      <c r="A38" s="6" t="s">
        <v>3319</v>
      </c>
      <c r="B38" s="7" t="s">
        <v>3320</v>
      </c>
      <c r="C38" s="8">
        <v>2</v>
      </c>
      <c r="D38" s="9">
        <v>17.98</v>
      </c>
      <c r="E38" s="8" t="s">
        <v>3321</v>
      </c>
      <c r="F38" s="7" t="s">
        <v>2435</v>
      </c>
      <c r="G38" s="10"/>
      <c r="H38" s="7" t="s">
        <v>2387</v>
      </c>
      <c r="I38" s="7" t="s">
        <v>2559</v>
      </c>
      <c r="J38" s="7" t="s">
        <v>2363</v>
      </c>
      <c r="K38" s="7" t="s">
        <v>2385</v>
      </c>
      <c r="L38" s="11" t="str">
        <f>HYPERLINK("http://slimages.macys.com/is/image/MCY/3162549 ")</f>
        <v xml:space="preserve">http://slimages.macys.com/is/image/MCY/3162549 </v>
      </c>
    </row>
    <row r="39" spans="1:12" ht="39.950000000000003" customHeight="1" x14ac:dyDescent="0.25">
      <c r="A39" s="6" t="s">
        <v>3322</v>
      </c>
      <c r="B39" s="7" t="s">
        <v>3323</v>
      </c>
      <c r="C39" s="8">
        <v>1</v>
      </c>
      <c r="D39" s="9">
        <v>11.99</v>
      </c>
      <c r="E39" s="8">
        <v>24525</v>
      </c>
      <c r="F39" s="7" t="s">
        <v>2355</v>
      </c>
      <c r="G39" s="10"/>
      <c r="H39" s="7" t="s">
        <v>2391</v>
      </c>
      <c r="I39" s="7" t="s">
        <v>2456</v>
      </c>
      <c r="J39" s="7" t="s">
        <v>2363</v>
      </c>
      <c r="K39" s="7"/>
      <c r="L39" s="11" t="str">
        <f>HYPERLINK("http://slimages.macys.com/is/image/MCY/9056510 ")</f>
        <v xml:space="preserve">http://slimages.macys.com/is/image/MCY/9056510 </v>
      </c>
    </row>
    <row r="40" spans="1:12" ht="39.950000000000003" customHeight="1" x14ac:dyDescent="0.25">
      <c r="A40" s="6" t="s">
        <v>3324</v>
      </c>
      <c r="B40" s="7" t="s">
        <v>3325</v>
      </c>
      <c r="C40" s="8">
        <v>1</v>
      </c>
      <c r="D40" s="9">
        <v>16.989999999999998</v>
      </c>
      <c r="E40" s="8">
        <v>15104</v>
      </c>
      <c r="F40" s="7" t="s">
        <v>2355</v>
      </c>
      <c r="G40" s="10"/>
      <c r="H40" s="7" t="s">
        <v>2407</v>
      </c>
      <c r="I40" s="7" t="s">
        <v>2678</v>
      </c>
      <c r="J40" s="7"/>
      <c r="K40" s="7"/>
      <c r="L40" s="11" t="str">
        <f>HYPERLINK("http://slimages.macys.com/is/image/MCY/524005 ")</f>
        <v xml:space="preserve">http://slimages.macys.com/is/image/MCY/524005 </v>
      </c>
    </row>
    <row r="41" spans="1:12" ht="39.950000000000003" customHeight="1" x14ac:dyDescent="0.25">
      <c r="A41" s="6" t="s">
        <v>3326</v>
      </c>
      <c r="B41" s="7" t="s">
        <v>3327</v>
      </c>
      <c r="C41" s="8">
        <v>1</v>
      </c>
      <c r="D41" s="9">
        <v>14.99</v>
      </c>
      <c r="E41" s="8" t="s">
        <v>3328</v>
      </c>
      <c r="F41" s="7" t="s">
        <v>2355</v>
      </c>
      <c r="G41" s="10"/>
      <c r="H41" s="7" t="s">
        <v>2532</v>
      </c>
      <c r="I41" s="7" t="s">
        <v>2974</v>
      </c>
      <c r="J41" s="7" t="s">
        <v>2363</v>
      </c>
      <c r="K41" s="7" t="s">
        <v>2385</v>
      </c>
      <c r="L41" s="11" t="str">
        <f>HYPERLINK("http://slimages.macys.com/is/image/MCY/9092086 ")</f>
        <v xml:space="preserve">http://slimages.macys.com/is/image/MCY/9092086 </v>
      </c>
    </row>
    <row r="42" spans="1:12" ht="39.950000000000003" customHeight="1" x14ac:dyDescent="0.25">
      <c r="A42" s="6" t="s">
        <v>3329</v>
      </c>
      <c r="B42" s="7" t="s">
        <v>3330</v>
      </c>
      <c r="C42" s="8">
        <v>1</v>
      </c>
      <c r="D42" s="9">
        <v>9.99</v>
      </c>
      <c r="E42" s="8" t="s">
        <v>3331</v>
      </c>
      <c r="F42" s="7" t="s">
        <v>2495</v>
      </c>
      <c r="G42" s="10" t="s">
        <v>2464</v>
      </c>
      <c r="H42" s="7" t="s">
        <v>2532</v>
      </c>
      <c r="I42" s="7" t="s">
        <v>2465</v>
      </c>
      <c r="J42" s="7" t="s">
        <v>2363</v>
      </c>
      <c r="K42" s="7" t="s">
        <v>3332</v>
      </c>
      <c r="L42" s="11" t="str">
        <f>HYPERLINK("http://slimages.macys.com/is/image/MCY/1588239 ")</f>
        <v xml:space="preserve">http://slimages.macys.com/is/image/MCY/1588239 </v>
      </c>
    </row>
    <row r="43" spans="1:12" ht="39.950000000000003" customHeight="1" x14ac:dyDescent="0.25">
      <c r="A43" s="6" t="s">
        <v>3333</v>
      </c>
      <c r="B43" s="7" t="s">
        <v>3334</v>
      </c>
      <c r="C43" s="8">
        <v>1</v>
      </c>
      <c r="D43" s="9">
        <v>184.99</v>
      </c>
      <c r="E43" s="8" t="s">
        <v>3335</v>
      </c>
      <c r="F43" s="7" t="s">
        <v>2424</v>
      </c>
      <c r="G43" s="10" t="s">
        <v>2356</v>
      </c>
      <c r="H43" s="7" t="s">
        <v>2369</v>
      </c>
      <c r="I43" s="7" t="s">
        <v>2374</v>
      </c>
      <c r="J43" s="7"/>
      <c r="K43" s="7"/>
      <c r="L43" s="11"/>
    </row>
    <row r="44" spans="1:12" ht="39.950000000000003" customHeight="1" x14ac:dyDescent="0.25">
      <c r="A44" s="6" t="s">
        <v>2466</v>
      </c>
      <c r="B44" s="7" t="s">
        <v>2467</v>
      </c>
      <c r="C44" s="8">
        <v>10</v>
      </c>
      <c r="D44" s="9">
        <v>400</v>
      </c>
      <c r="E44" s="8"/>
      <c r="F44" s="7" t="s">
        <v>2468</v>
      </c>
      <c r="G44" s="10" t="s">
        <v>2469</v>
      </c>
      <c r="H44" s="7" t="s">
        <v>2470</v>
      </c>
      <c r="I44" s="7" t="s">
        <v>2471</v>
      </c>
      <c r="J44" s="7"/>
      <c r="K44" s="7"/>
      <c r="L44" s="11"/>
    </row>
    <row r="45" spans="1:12" ht="39.950000000000003" customHeight="1" x14ac:dyDescent="0.25">
      <c r="A45" s="6" t="s">
        <v>3336</v>
      </c>
      <c r="B45" s="7" t="s">
        <v>3337</v>
      </c>
      <c r="C45" s="8">
        <v>1</v>
      </c>
      <c r="D45" s="9">
        <v>24.99</v>
      </c>
      <c r="E45" s="8" t="s">
        <v>3338</v>
      </c>
      <c r="F45" s="7" t="s">
        <v>2623</v>
      </c>
      <c r="G45" s="10" t="s">
        <v>3339</v>
      </c>
      <c r="H45" s="7" t="s">
        <v>2387</v>
      </c>
      <c r="I45" s="7" t="s">
        <v>2661</v>
      </c>
      <c r="J45" s="7"/>
      <c r="K45" s="7"/>
      <c r="L45" s="11"/>
    </row>
    <row r="46" spans="1:12" ht="39.950000000000003" customHeight="1" x14ac:dyDescent="0.25">
      <c r="A46" s="6" t="s">
        <v>2934</v>
      </c>
      <c r="B46" s="7" t="s">
        <v>2935</v>
      </c>
      <c r="C46" s="8">
        <v>1</v>
      </c>
      <c r="D46" s="9">
        <v>39.99</v>
      </c>
      <c r="E46" s="8" t="s">
        <v>2936</v>
      </c>
      <c r="F46" s="7" t="s">
        <v>2368</v>
      </c>
      <c r="G46" s="10"/>
      <c r="H46" s="7" t="s">
        <v>2375</v>
      </c>
      <c r="I46" s="7" t="s">
        <v>2376</v>
      </c>
      <c r="J46" s="7"/>
      <c r="K46" s="7"/>
      <c r="L46" s="11"/>
    </row>
    <row r="47" spans="1:12" ht="39.950000000000003" customHeight="1" x14ac:dyDescent="0.25">
      <c r="A47" s="6" t="s">
        <v>3340</v>
      </c>
      <c r="B47" s="7" t="s">
        <v>3341</v>
      </c>
      <c r="C47" s="8">
        <v>1</v>
      </c>
      <c r="D47" s="9">
        <v>12.99</v>
      </c>
      <c r="E47" s="8">
        <v>10012074400</v>
      </c>
      <c r="F47" s="7" t="s">
        <v>2446</v>
      </c>
      <c r="G47" s="10" t="s">
        <v>2616</v>
      </c>
      <c r="H47" s="7" t="s">
        <v>2442</v>
      </c>
      <c r="I47" s="7" t="s">
        <v>2443</v>
      </c>
      <c r="J47" s="7"/>
      <c r="K47" s="7"/>
      <c r="L47" s="11"/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43"/>
  <sheetViews>
    <sheetView workbookViewId="0">
      <selection activeCell="B44" sqref="B44"/>
    </sheetView>
  </sheetViews>
  <sheetFormatPr defaultRowHeight="39.950000000000003" customHeight="1" x14ac:dyDescent="0.25"/>
  <cols>
    <col min="1" max="1" width="14.28515625" customWidth="1"/>
    <col min="2" max="2" width="49.710937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2350</v>
      </c>
      <c r="I1" s="5" t="s">
        <v>2351</v>
      </c>
      <c r="J1" s="5" t="s">
        <v>2352</v>
      </c>
      <c r="K1" s="5" t="s">
        <v>2353</v>
      </c>
      <c r="L1" s="5" t="s">
        <v>2354</v>
      </c>
    </row>
    <row r="2" spans="1:12" ht="39.950000000000003" customHeight="1" x14ac:dyDescent="0.25">
      <c r="A2" s="6" t="s">
        <v>3342</v>
      </c>
      <c r="B2" s="7" t="s">
        <v>3343</v>
      </c>
      <c r="C2" s="8">
        <v>1</v>
      </c>
      <c r="D2" s="9">
        <v>299.99</v>
      </c>
      <c r="E2" s="8" t="s">
        <v>3344</v>
      </c>
      <c r="F2" s="7" t="s">
        <v>2399</v>
      </c>
      <c r="G2" s="10"/>
      <c r="H2" s="7" t="s">
        <v>2407</v>
      </c>
      <c r="I2" s="7" t="s">
        <v>3345</v>
      </c>
      <c r="J2" s="7" t="s">
        <v>2363</v>
      </c>
      <c r="K2" s="7" t="s">
        <v>2421</v>
      </c>
      <c r="L2" s="11" t="str">
        <f>HYPERLINK("http://slimages.macys.com/is/image/MCY/14545198 ")</f>
        <v xml:space="preserve">http://slimages.macys.com/is/image/MCY/14545198 </v>
      </c>
    </row>
    <row r="3" spans="1:12" ht="39.950000000000003" customHeight="1" x14ac:dyDescent="0.25">
      <c r="A3" s="6" t="s">
        <v>3346</v>
      </c>
      <c r="B3" s="7" t="s">
        <v>3347</v>
      </c>
      <c r="C3" s="8">
        <v>1</v>
      </c>
      <c r="D3" s="9">
        <v>349.99</v>
      </c>
      <c r="E3" s="8" t="s">
        <v>3348</v>
      </c>
      <c r="F3" s="7" t="s">
        <v>2355</v>
      </c>
      <c r="G3" s="10"/>
      <c r="H3" s="7" t="s">
        <v>2357</v>
      </c>
      <c r="I3" s="7" t="s">
        <v>2358</v>
      </c>
      <c r="J3" s="7" t="s">
        <v>2363</v>
      </c>
      <c r="K3" s="7" t="s">
        <v>3349</v>
      </c>
      <c r="L3" s="11" t="str">
        <f>HYPERLINK("http://slimages.macys.com/is/image/MCY/16688566 ")</f>
        <v xml:space="preserve">http://slimages.macys.com/is/image/MCY/16688566 </v>
      </c>
    </row>
    <row r="4" spans="1:12" ht="39.950000000000003" customHeight="1" x14ac:dyDescent="0.25">
      <c r="A4" s="6" t="s">
        <v>2831</v>
      </c>
      <c r="B4" s="7" t="s">
        <v>2832</v>
      </c>
      <c r="C4" s="8">
        <v>1</v>
      </c>
      <c r="D4" s="9">
        <v>299.99</v>
      </c>
      <c r="E4" s="8" t="s">
        <v>2833</v>
      </c>
      <c r="F4" s="7" t="s">
        <v>2355</v>
      </c>
      <c r="G4" s="10"/>
      <c r="H4" s="7" t="s">
        <v>2357</v>
      </c>
      <c r="I4" s="7" t="s">
        <v>2358</v>
      </c>
      <c r="J4" s="7" t="s">
        <v>2363</v>
      </c>
      <c r="K4" s="7" t="s">
        <v>2640</v>
      </c>
      <c r="L4" s="11" t="str">
        <f>HYPERLINK("http://slimages.macys.com/is/image/MCY/12898925 ")</f>
        <v xml:space="preserve">http://slimages.macys.com/is/image/MCY/12898925 </v>
      </c>
    </row>
    <row r="5" spans="1:12" ht="39.950000000000003" customHeight="1" x14ac:dyDescent="0.25">
      <c r="A5" s="6" t="s">
        <v>3350</v>
      </c>
      <c r="B5" s="7" t="s">
        <v>3351</v>
      </c>
      <c r="C5" s="8">
        <v>1</v>
      </c>
      <c r="D5" s="9">
        <v>149.99</v>
      </c>
      <c r="E5" s="8" t="s">
        <v>3352</v>
      </c>
      <c r="F5" s="7" t="s">
        <v>2538</v>
      </c>
      <c r="G5" s="10"/>
      <c r="H5" s="7" t="s">
        <v>2369</v>
      </c>
      <c r="I5" s="7" t="s">
        <v>2409</v>
      </c>
      <c r="J5" s="7" t="s">
        <v>2363</v>
      </c>
      <c r="K5" s="7" t="s">
        <v>3353</v>
      </c>
      <c r="L5" s="11" t="str">
        <f>HYPERLINK("http://slimages.macys.com/is/image/MCY/8931918 ")</f>
        <v xml:space="preserve">http://slimages.macys.com/is/image/MCY/8931918 </v>
      </c>
    </row>
    <row r="6" spans="1:12" ht="39.950000000000003" customHeight="1" x14ac:dyDescent="0.25">
      <c r="A6" s="6" t="s">
        <v>3354</v>
      </c>
      <c r="B6" s="7" t="s">
        <v>3355</v>
      </c>
      <c r="C6" s="8">
        <v>1</v>
      </c>
      <c r="D6" s="9">
        <v>139.99</v>
      </c>
      <c r="E6" s="8" t="s">
        <v>3356</v>
      </c>
      <c r="F6" s="7" t="s">
        <v>2623</v>
      </c>
      <c r="G6" s="10" t="s">
        <v>2726</v>
      </c>
      <c r="H6" s="7" t="s">
        <v>2422</v>
      </c>
      <c r="I6" s="7" t="s">
        <v>2825</v>
      </c>
      <c r="J6" s="7" t="s">
        <v>2363</v>
      </c>
      <c r="K6" s="7" t="s">
        <v>3357</v>
      </c>
      <c r="L6" s="11" t="str">
        <f>HYPERLINK("http://slimages.macys.com/is/image/MCY/16338885 ")</f>
        <v xml:space="preserve">http://slimages.macys.com/is/image/MCY/16338885 </v>
      </c>
    </row>
    <row r="7" spans="1:12" ht="39.950000000000003" customHeight="1" x14ac:dyDescent="0.25">
      <c r="A7" s="6" t="s">
        <v>2482</v>
      </c>
      <c r="B7" s="7" t="s">
        <v>2483</v>
      </c>
      <c r="C7" s="8">
        <v>1</v>
      </c>
      <c r="D7" s="9">
        <v>179.99</v>
      </c>
      <c r="E7" s="8" t="s">
        <v>2484</v>
      </c>
      <c r="F7" s="7" t="s">
        <v>2446</v>
      </c>
      <c r="G7" s="10"/>
      <c r="H7" s="7" t="s">
        <v>2400</v>
      </c>
      <c r="I7" s="7" t="s">
        <v>2485</v>
      </c>
      <c r="J7" s="7"/>
      <c r="K7" s="7"/>
      <c r="L7" s="11" t="str">
        <f>HYPERLINK("http://slimages.macys.com/is/image/MCY/16792609 ")</f>
        <v xml:space="preserve">http://slimages.macys.com/is/image/MCY/16792609 </v>
      </c>
    </row>
    <row r="8" spans="1:12" ht="39.950000000000003" customHeight="1" x14ac:dyDescent="0.25">
      <c r="A8" s="6" t="s">
        <v>3358</v>
      </c>
      <c r="B8" s="7" t="s">
        <v>3359</v>
      </c>
      <c r="C8" s="8">
        <v>1</v>
      </c>
      <c r="D8" s="9">
        <v>159.99</v>
      </c>
      <c r="E8" s="8" t="s">
        <v>3360</v>
      </c>
      <c r="F8" s="7" t="s">
        <v>2355</v>
      </c>
      <c r="G8" s="10"/>
      <c r="H8" s="7" t="s">
        <v>2357</v>
      </c>
      <c r="I8" s="7" t="s">
        <v>2820</v>
      </c>
      <c r="J8" s="7" t="s">
        <v>2363</v>
      </c>
      <c r="K8" s="7" t="s">
        <v>2640</v>
      </c>
      <c r="L8" s="11" t="str">
        <f>HYPERLINK("http://slimages.macys.com/is/image/MCY/3573212 ")</f>
        <v xml:space="preserve">http://slimages.macys.com/is/image/MCY/3573212 </v>
      </c>
    </row>
    <row r="9" spans="1:12" ht="39.950000000000003" customHeight="1" x14ac:dyDescent="0.25">
      <c r="A9" s="6" t="s">
        <v>3361</v>
      </c>
      <c r="B9" s="7" t="s">
        <v>3362</v>
      </c>
      <c r="C9" s="8">
        <v>1</v>
      </c>
      <c r="D9" s="9">
        <v>140.99</v>
      </c>
      <c r="E9" s="8" t="s">
        <v>3363</v>
      </c>
      <c r="F9" s="7" t="s">
        <v>2567</v>
      </c>
      <c r="G9" s="10"/>
      <c r="H9" s="7" t="s">
        <v>2369</v>
      </c>
      <c r="I9" s="7" t="s">
        <v>2571</v>
      </c>
      <c r="J9" s="7" t="s">
        <v>2363</v>
      </c>
      <c r="K9" s="7" t="s">
        <v>2421</v>
      </c>
      <c r="L9" s="11" t="str">
        <f>HYPERLINK("http://slimages.macys.com/is/image/MCY/13046458 ")</f>
        <v xml:space="preserve">http://slimages.macys.com/is/image/MCY/13046458 </v>
      </c>
    </row>
    <row r="10" spans="1:12" ht="39.950000000000003" customHeight="1" x14ac:dyDescent="0.25">
      <c r="A10" s="6" t="s">
        <v>3364</v>
      </c>
      <c r="B10" s="7" t="s">
        <v>3365</v>
      </c>
      <c r="C10" s="8">
        <v>1</v>
      </c>
      <c r="D10" s="9">
        <v>119.99</v>
      </c>
      <c r="E10" s="8" t="s">
        <v>3366</v>
      </c>
      <c r="F10" s="7" t="s">
        <v>2368</v>
      </c>
      <c r="G10" s="10"/>
      <c r="H10" s="7" t="s">
        <v>2369</v>
      </c>
      <c r="I10" s="7" t="s">
        <v>2409</v>
      </c>
      <c r="J10" s="7" t="s">
        <v>2363</v>
      </c>
      <c r="K10" s="7" t="s">
        <v>3367</v>
      </c>
      <c r="L10" s="11" t="str">
        <f>HYPERLINK("http://slimages.macys.com/is/image/MCY/9627818 ")</f>
        <v xml:space="preserve">http://slimages.macys.com/is/image/MCY/9627818 </v>
      </c>
    </row>
    <row r="11" spans="1:12" ht="39.950000000000003" customHeight="1" x14ac:dyDescent="0.25">
      <c r="A11" s="6" t="s">
        <v>3368</v>
      </c>
      <c r="B11" s="7" t="s">
        <v>3369</v>
      </c>
      <c r="C11" s="8">
        <v>1</v>
      </c>
      <c r="D11" s="9">
        <v>99.99</v>
      </c>
      <c r="E11" s="8" t="s">
        <v>3370</v>
      </c>
      <c r="F11" s="7" t="s">
        <v>2477</v>
      </c>
      <c r="G11" s="10"/>
      <c r="H11" s="7" t="s">
        <v>2391</v>
      </c>
      <c r="I11" s="7" t="s">
        <v>2392</v>
      </c>
      <c r="J11" s="7" t="s">
        <v>2363</v>
      </c>
      <c r="K11" s="7" t="s">
        <v>2389</v>
      </c>
      <c r="L11" s="11" t="str">
        <f>HYPERLINK("http://slimages.macys.com/is/image/MCY/3684142 ")</f>
        <v xml:space="preserve">http://slimages.macys.com/is/image/MCY/3684142 </v>
      </c>
    </row>
    <row r="12" spans="1:12" ht="39.950000000000003" customHeight="1" x14ac:dyDescent="0.25">
      <c r="A12" s="6" t="s">
        <v>3371</v>
      </c>
      <c r="B12" s="7" t="s">
        <v>3372</v>
      </c>
      <c r="C12" s="8">
        <v>1</v>
      </c>
      <c r="D12" s="9">
        <v>99.99</v>
      </c>
      <c r="E12" s="8" t="s">
        <v>3373</v>
      </c>
      <c r="F12" s="7" t="s">
        <v>2495</v>
      </c>
      <c r="G12" s="10"/>
      <c r="H12" s="7" t="s">
        <v>2375</v>
      </c>
      <c r="I12" s="7" t="s">
        <v>2376</v>
      </c>
      <c r="J12" s="7" t="s">
        <v>2496</v>
      </c>
      <c r="K12" s="7" t="s">
        <v>2402</v>
      </c>
      <c r="L12" s="11" t="str">
        <f>HYPERLINK("http://slimages.macys.com/is/image/MCY/11777712 ")</f>
        <v xml:space="preserve">http://slimages.macys.com/is/image/MCY/11777712 </v>
      </c>
    </row>
    <row r="13" spans="1:12" ht="39.950000000000003" customHeight="1" x14ac:dyDescent="0.25">
      <c r="A13" s="6" t="s">
        <v>2579</v>
      </c>
      <c r="B13" s="7" t="s">
        <v>2580</v>
      </c>
      <c r="C13" s="8">
        <v>1</v>
      </c>
      <c r="D13" s="9">
        <v>129.99</v>
      </c>
      <c r="E13" s="8" t="s">
        <v>2581</v>
      </c>
      <c r="F13" s="7" t="s">
        <v>2355</v>
      </c>
      <c r="G13" s="10"/>
      <c r="H13" s="7" t="s">
        <v>2396</v>
      </c>
      <c r="I13" s="7" t="s">
        <v>2397</v>
      </c>
      <c r="J13" s="7" t="s">
        <v>2363</v>
      </c>
      <c r="K13" s="7" t="s">
        <v>2389</v>
      </c>
      <c r="L13" s="11" t="str">
        <f>HYPERLINK("http://slimages.macys.com/is/image/MCY/11607139 ")</f>
        <v xml:space="preserve">http://slimages.macys.com/is/image/MCY/11607139 </v>
      </c>
    </row>
    <row r="14" spans="1:12" ht="39.950000000000003" customHeight="1" x14ac:dyDescent="0.25">
      <c r="A14" s="6" t="s">
        <v>3374</v>
      </c>
      <c r="B14" s="7" t="s">
        <v>3375</v>
      </c>
      <c r="C14" s="8">
        <v>1</v>
      </c>
      <c r="D14" s="9">
        <v>79.989999999999995</v>
      </c>
      <c r="E14" s="8">
        <v>172291</v>
      </c>
      <c r="F14" s="7" t="s">
        <v>2386</v>
      </c>
      <c r="G14" s="10"/>
      <c r="H14" s="7" t="s">
        <v>2383</v>
      </c>
      <c r="I14" s="7" t="s">
        <v>2445</v>
      </c>
      <c r="J14" s="7" t="s">
        <v>3376</v>
      </c>
      <c r="K14" s="7" t="s">
        <v>3377</v>
      </c>
      <c r="L14" s="11" t="str">
        <f>HYPERLINK("http://slimages.macys.com/is/image/MCY/11385711 ")</f>
        <v xml:space="preserve">http://slimages.macys.com/is/image/MCY/11385711 </v>
      </c>
    </row>
    <row r="15" spans="1:12" ht="39.950000000000003" customHeight="1" x14ac:dyDescent="0.25">
      <c r="A15" s="6" t="s">
        <v>3378</v>
      </c>
      <c r="B15" s="7" t="s">
        <v>3379</v>
      </c>
      <c r="C15" s="8">
        <v>1</v>
      </c>
      <c r="D15" s="9">
        <v>99.99</v>
      </c>
      <c r="E15" s="8" t="s">
        <v>3380</v>
      </c>
      <c r="F15" s="7" t="s">
        <v>2454</v>
      </c>
      <c r="G15" s="10"/>
      <c r="H15" s="7" t="s">
        <v>2486</v>
      </c>
      <c r="I15" s="7" t="s">
        <v>2585</v>
      </c>
      <c r="J15" s="7" t="s">
        <v>2363</v>
      </c>
      <c r="K15" s="7" t="s">
        <v>1364</v>
      </c>
      <c r="L15" s="11" t="str">
        <f>HYPERLINK("http://slimages.macys.com/is/image/MCY/16533936 ")</f>
        <v xml:space="preserve">http://slimages.macys.com/is/image/MCY/16533936 </v>
      </c>
    </row>
    <row r="16" spans="1:12" ht="39.950000000000003" customHeight="1" x14ac:dyDescent="0.25">
      <c r="A16" s="6" t="s">
        <v>2757</v>
      </c>
      <c r="B16" s="7" t="s">
        <v>2758</v>
      </c>
      <c r="C16" s="8">
        <v>1</v>
      </c>
      <c r="D16" s="9">
        <v>89.99</v>
      </c>
      <c r="E16" s="8" t="s">
        <v>2759</v>
      </c>
      <c r="F16" s="7" t="s">
        <v>2362</v>
      </c>
      <c r="G16" s="10"/>
      <c r="H16" s="7" t="s">
        <v>2486</v>
      </c>
      <c r="I16" s="7" t="s">
        <v>2487</v>
      </c>
      <c r="J16" s="7" t="s">
        <v>2496</v>
      </c>
      <c r="K16" s="7" t="s">
        <v>2760</v>
      </c>
      <c r="L16" s="11" t="str">
        <f>HYPERLINK("http://slimages.macys.com/is/image/MCY/11640418 ")</f>
        <v xml:space="preserve">http://slimages.macys.com/is/image/MCY/11640418 </v>
      </c>
    </row>
    <row r="17" spans="1:12" ht="39.950000000000003" customHeight="1" x14ac:dyDescent="0.25">
      <c r="A17" s="6" t="s">
        <v>1365</v>
      </c>
      <c r="B17" s="7" t="s">
        <v>1366</v>
      </c>
      <c r="C17" s="8">
        <v>1</v>
      </c>
      <c r="D17" s="9">
        <v>92.99</v>
      </c>
      <c r="E17" s="8" t="s">
        <v>1367</v>
      </c>
      <c r="F17" s="7" t="s">
        <v>2355</v>
      </c>
      <c r="G17" s="10"/>
      <c r="H17" s="7" t="s">
        <v>2407</v>
      </c>
      <c r="I17" s="7" t="s">
        <v>2448</v>
      </c>
      <c r="J17" s="7" t="s">
        <v>2363</v>
      </c>
      <c r="K17" s="7" t="s">
        <v>2389</v>
      </c>
      <c r="L17" s="11" t="str">
        <f>HYPERLINK("http://slimages.macys.com/is/image/MCY/15693464 ")</f>
        <v xml:space="preserve">http://slimages.macys.com/is/image/MCY/15693464 </v>
      </c>
    </row>
    <row r="18" spans="1:12" ht="39.950000000000003" customHeight="1" x14ac:dyDescent="0.25">
      <c r="A18" s="6" t="s">
        <v>1368</v>
      </c>
      <c r="B18" s="7" t="s">
        <v>1369</v>
      </c>
      <c r="C18" s="8">
        <v>1</v>
      </c>
      <c r="D18" s="9">
        <v>77.989999999999995</v>
      </c>
      <c r="E18" s="8" t="s">
        <v>1370</v>
      </c>
      <c r="F18" s="7" t="s">
        <v>2355</v>
      </c>
      <c r="G18" s="10" t="s">
        <v>2373</v>
      </c>
      <c r="H18" s="7" t="s">
        <v>2369</v>
      </c>
      <c r="I18" s="7" t="s">
        <v>2543</v>
      </c>
      <c r="J18" s="7" t="s">
        <v>2363</v>
      </c>
      <c r="K18" s="7" t="s">
        <v>2513</v>
      </c>
      <c r="L18" s="11" t="str">
        <f>HYPERLINK("http://slimages.macys.com/is/image/MCY/10290998 ")</f>
        <v xml:space="preserve">http://slimages.macys.com/is/image/MCY/10290998 </v>
      </c>
    </row>
    <row r="19" spans="1:12" ht="39.950000000000003" customHeight="1" x14ac:dyDescent="0.25">
      <c r="A19" s="6" t="s">
        <v>1371</v>
      </c>
      <c r="B19" s="7" t="s">
        <v>1372</v>
      </c>
      <c r="C19" s="8">
        <v>1</v>
      </c>
      <c r="D19" s="9">
        <v>53.99</v>
      </c>
      <c r="E19" s="8" t="s">
        <v>1373</v>
      </c>
      <c r="F19" s="7" t="s">
        <v>2722</v>
      </c>
      <c r="G19" s="10" t="s">
        <v>2469</v>
      </c>
      <c r="H19" s="7" t="s">
        <v>2391</v>
      </c>
      <c r="I19" s="7" t="s">
        <v>2536</v>
      </c>
      <c r="J19" s="7" t="s">
        <v>2363</v>
      </c>
      <c r="K19" s="7" t="s">
        <v>2371</v>
      </c>
      <c r="L19" s="11" t="str">
        <f>HYPERLINK("http://slimages.macys.com/is/image/MCY/15411731 ")</f>
        <v xml:space="preserve">http://slimages.macys.com/is/image/MCY/15411731 </v>
      </c>
    </row>
    <row r="20" spans="1:12" ht="39.950000000000003" customHeight="1" x14ac:dyDescent="0.25">
      <c r="A20" s="6" t="s">
        <v>2694</v>
      </c>
      <c r="B20" s="7" t="s">
        <v>2695</v>
      </c>
      <c r="C20" s="8">
        <v>1</v>
      </c>
      <c r="D20" s="9">
        <v>89.99</v>
      </c>
      <c r="E20" s="8" t="s">
        <v>2696</v>
      </c>
      <c r="F20" s="7" t="s">
        <v>2381</v>
      </c>
      <c r="G20" s="10"/>
      <c r="H20" s="7" t="s">
        <v>2357</v>
      </c>
      <c r="I20" s="7" t="s">
        <v>2593</v>
      </c>
      <c r="J20" s="7" t="s">
        <v>2363</v>
      </c>
      <c r="K20" s="7"/>
      <c r="L20" s="11" t="str">
        <f>HYPERLINK("http://slimages.macys.com/is/image/MCY/8453088 ")</f>
        <v xml:space="preserve">http://slimages.macys.com/is/image/MCY/8453088 </v>
      </c>
    </row>
    <row r="21" spans="1:12" ht="39.950000000000003" customHeight="1" x14ac:dyDescent="0.25">
      <c r="A21" s="6" t="s">
        <v>1374</v>
      </c>
      <c r="B21" s="7" t="s">
        <v>2660</v>
      </c>
      <c r="C21" s="8">
        <v>2</v>
      </c>
      <c r="D21" s="9">
        <v>199.98</v>
      </c>
      <c r="E21" s="8" t="s">
        <v>1375</v>
      </c>
      <c r="F21" s="7" t="s">
        <v>2355</v>
      </c>
      <c r="G21" s="10" t="s">
        <v>2596</v>
      </c>
      <c r="H21" s="7" t="s">
        <v>2357</v>
      </c>
      <c r="I21" s="7" t="s">
        <v>2378</v>
      </c>
      <c r="J21" s="7" t="s">
        <v>2363</v>
      </c>
      <c r="K21" s="7" t="s">
        <v>2416</v>
      </c>
      <c r="L21" s="11" t="str">
        <f>HYPERLINK("http://slimages.macys.com/is/image/MCY/8182285 ")</f>
        <v xml:space="preserve">http://slimages.macys.com/is/image/MCY/8182285 </v>
      </c>
    </row>
    <row r="22" spans="1:12" ht="39.950000000000003" customHeight="1" x14ac:dyDescent="0.25">
      <c r="A22" s="6" t="s">
        <v>1376</v>
      </c>
      <c r="B22" s="7" t="s">
        <v>1377</v>
      </c>
      <c r="C22" s="8">
        <v>1</v>
      </c>
      <c r="D22" s="9">
        <v>49.99</v>
      </c>
      <c r="E22" s="8" t="s">
        <v>1378</v>
      </c>
      <c r="F22" s="7" t="s">
        <v>2368</v>
      </c>
      <c r="G22" s="10"/>
      <c r="H22" s="7" t="s">
        <v>2369</v>
      </c>
      <c r="I22" s="7" t="s">
        <v>2370</v>
      </c>
      <c r="J22" s="7" t="s">
        <v>2363</v>
      </c>
      <c r="K22" s="7" t="s">
        <v>2385</v>
      </c>
      <c r="L22" s="11" t="str">
        <f>HYPERLINK("http://slimages.macys.com/is/image/MCY/8347198 ")</f>
        <v xml:space="preserve">http://slimages.macys.com/is/image/MCY/8347198 </v>
      </c>
    </row>
    <row r="23" spans="1:12" ht="39.950000000000003" customHeight="1" x14ac:dyDescent="0.25">
      <c r="A23" s="6" t="s">
        <v>1379</v>
      </c>
      <c r="B23" s="7" t="s">
        <v>1380</v>
      </c>
      <c r="C23" s="8">
        <v>1</v>
      </c>
      <c r="D23" s="9">
        <v>39.99</v>
      </c>
      <c r="E23" s="8" t="s">
        <v>1381</v>
      </c>
      <c r="F23" s="7" t="s">
        <v>2475</v>
      </c>
      <c r="G23" s="10"/>
      <c r="H23" s="7" t="s">
        <v>2387</v>
      </c>
      <c r="I23" s="7" t="s">
        <v>2404</v>
      </c>
      <c r="J23" s="7" t="s">
        <v>2363</v>
      </c>
      <c r="K23" s="7"/>
      <c r="L23" s="11" t="str">
        <f>HYPERLINK("http://slimages.macys.com/is/image/MCY/11764484 ")</f>
        <v xml:space="preserve">http://slimages.macys.com/is/image/MCY/11764484 </v>
      </c>
    </row>
    <row r="24" spans="1:12" ht="39.950000000000003" customHeight="1" x14ac:dyDescent="0.25">
      <c r="A24" s="6" t="s">
        <v>1382</v>
      </c>
      <c r="B24" s="7" t="s">
        <v>1383</v>
      </c>
      <c r="C24" s="8">
        <v>1</v>
      </c>
      <c r="D24" s="9">
        <v>60.99</v>
      </c>
      <c r="E24" s="8" t="s">
        <v>1384</v>
      </c>
      <c r="F24" s="7" t="s">
        <v>2639</v>
      </c>
      <c r="G24" s="10"/>
      <c r="H24" s="7" t="s">
        <v>2369</v>
      </c>
      <c r="I24" s="7" t="s">
        <v>2661</v>
      </c>
      <c r="J24" s="7" t="s">
        <v>2363</v>
      </c>
      <c r="K24" s="7" t="s">
        <v>2662</v>
      </c>
      <c r="L24" s="11" t="str">
        <f>HYPERLINK("http://slimages.macys.com/is/image/MCY/14540137 ")</f>
        <v xml:space="preserve">http://slimages.macys.com/is/image/MCY/14540137 </v>
      </c>
    </row>
    <row r="25" spans="1:12" ht="39.950000000000003" customHeight="1" x14ac:dyDescent="0.25">
      <c r="A25" s="6" t="s">
        <v>1385</v>
      </c>
      <c r="B25" s="7" t="s">
        <v>1386</v>
      </c>
      <c r="C25" s="8">
        <v>1</v>
      </c>
      <c r="D25" s="9">
        <v>49.99</v>
      </c>
      <c r="E25" s="8" t="s">
        <v>1387</v>
      </c>
      <c r="F25" s="7" t="s">
        <v>2512</v>
      </c>
      <c r="G25" s="10"/>
      <c r="H25" s="7" t="s">
        <v>2369</v>
      </c>
      <c r="I25" s="7" t="s">
        <v>2370</v>
      </c>
      <c r="J25" s="7" t="s">
        <v>2363</v>
      </c>
      <c r="K25" s="7" t="s">
        <v>2385</v>
      </c>
      <c r="L25" s="11" t="str">
        <f>HYPERLINK("http://slimages.macys.com/is/image/MCY/8347198 ")</f>
        <v xml:space="preserve">http://slimages.macys.com/is/image/MCY/8347198 </v>
      </c>
    </row>
    <row r="26" spans="1:12" ht="39.950000000000003" customHeight="1" x14ac:dyDescent="0.25">
      <c r="A26" s="6" t="s">
        <v>1388</v>
      </c>
      <c r="B26" s="7" t="s">
        <v>1389</v>
      </c>
      <c r="C26" s="8">
        <v>1</v>
      </c>
      <c r="D26" s="9">
        <v>69.989999999999995</v>
      </c>
      <c r="E26" s="8" t="s">
        <v>1390</v>
      </c>
      <c r="F26" s="7" t="s">
        <v>2495</v>
      </c>
      <c r="G26" s="10"/>
      <c r="H26" s="7" t="s">
        <v>2413</v>
      </c>
      <c r="I26" s="7" t="s">
        <v>2524</v>
      </c>
      <c r="J26" s="7" t="s">
        <v>2363</v>
      </c>
      <c r="K26" s="7" t="s">
        <v>2525</v>
      </c>
      <c r="L26" s="11" t="str">
        <f>HYPERLINK("http://slimages.macys.com/is/image/MCY/13121058 ")</f>
        <v xml:space="preserve">http://slimages.macys.com/is/image/MCY/13121058 </v>
      </c>
    </row>
    <row r="27" spans="1:12" ht="39.950000000000003" customHeight="1" x14ac:dyDescent="0.25">
      <c r="A27" s="6" t="s">
        <v>1391</v>
      </c>
      <c r="B27" s="7" t="s">
        <v>1392</v>
      </c>
      <c r="C27" s="8">
        <v>1</v>
      </c>
      <c r="D27" s="9">
        <v>39.99</v>
      </c>
      <c r="E27" s="8">
        <v>63977</v>
      </c>
      <c r="F27" s="7" t="s">
        <v>2355</v>
      </c>
      <c r="G27" s="10" t="s">
        <v>2646</v>
      </c>
      <c r="H27" s="7" t="s">
        <v>2407</v>
      </c>
      <c r="I27" s="7" t="s">
        <v>2542</v>
      </c>
      <c r="J27" s="7" t="s">
        <v>2452</v>
      </c>
      <c r="K27" s="7" t="s">
        <v>2806</v>
      </c>
      <c r="L27" s="11" t="str">
        <f>HYPERLINK("http://slimages.macys.com/is/image/MCY/3201358 ")</f>
        <v xml:space="preserve">http://slimages.macys.com/is/image/MCY/3201358 </v>
      </c>
    </row>
    <row r="28" spans="1:12" ht="39.950000000000003" customHeight="1" x14ac:dyDescent="0.25">
      <c r="A28" s="6" t="s">
        <v>1393</v>
      </c>
      <c r="B28" s="7" t="s">
        <v>1394</v>
      </c>
      <c r="C28" s="8">
        <v>1</v>
      </c>
      <c r="D28" s="9">
        <v>36.99</v>
      </c>
      <c r="E28" s="8" t="s">
        <v>1395</v>
      </c>
      <c r="F28" s="7" t="s">
        <v>2435</v>
      </c>
      <c r="G28" s="10" t="s">
        <v>2469</v>
      </c>
      <c r="H28" s="7" t="s">
        <v>2391</v>
      </c>
      <c r="I28" s="7" t="s">
        <v>2507</v>
      </c>
      <c r="J28" s="7" t="s">
        <v>2363</v>
      </c>
      <c r="K28" s="7" t="s">
        <v>2371</v>
      </c>
      <c r="L28" s="11" t="str">
        <f>HYPERLINK("http://slimages.macys.com/is/image/MCY/11293294 ")</f>
        <v xml:space="preserve">http://slimages.macys.com/is/image/MCY/11293294 </v>
      </c>
    </row>
    <row r="29" spans="1:12" ht="39.950000000000003" customHeight="1" x14ac:dyDescent="0.25">
      <c r="A29" s="6" t="s">
        <v>1396</v>
      </c>
      <c r="B29" s="7" t="s">
        <v>1397</v>
      </c>
      <c r="C29" s="8">
        <v>4</v>
      </c>
      <c r="D29" s="9">
        <v>119.96</v>
      </c>
      <c r="E29" s="8" t="s">
        <v>1398</v>
      </c>
      <c r="F29" s="7" t="s">
        <v>2495</v>
      </c>
      <c r="G29" s="10"/>
      <c r="H29" s="7" t="s">
        <v>2391</v>
      </c>
      <c r="I29" s="7" t="s">
        <v>2550</v>
      </c>
      <c r="J29" s="7" t="s">
        <v>2363</v>
      </c>
      <c r="K29" s="7" t="s">
        <v>1399</v>
      </c>
      <c r="L29" s="11" t="str">
        <f>HYPERLINK("http://slimages.macys.com/is/image/MCY/3675413 ")</f>
        <v xml:space="preserve">http://slimages.macys.com/is/image/MCY/3675413 </v>
      </c>
    </row>
    <row r="30" spans="1:12" ht="39.950000000000003" customHeight="1" x14ac:dyDescent="0.25">
      <c r="A30" s="6" t="s">
        <v>1400</v>
      </c>
      <c r="B30" s="7" t="s">
        <v>1401</v>
      </c>
      <c r="C30" s="8">
        <v>2</v>
      </c>
      <c r="D30" s="9">
        <v>53.98</v>
      </c>
      <c r="E30" s="8">
        <v>46744</v>
      </c>
      <c r="F30" s="7" t="s">
        <v>2355</v>
      </c>
      <c r="G30" s="10" t="s">
        <v>2539</v>
      </c>
      <c r="H30" s="7" t="s">
        <v>2407</v>
      </c>
      <c r="I30" s="7" t="s">
        <v>2542</v>
      </c>
      <c r="J30" s="7" t="s">
        <v>2452</v>
      </c>
      <c r="K30" s="7" t="s">
        <v>2421</v>
      </c>
      <c r="L30" s="11" t="str">
        <f>HYPERLINK("http://slimages.macys.com/is/image/MCY/10055898 ")</f>
        <v xml:space="preserve">http://slimages.macys.com/is/image/MCY/10055898 </v>
      </c>
    </row>
    <row r="31" spans="1:12" ht="39.950000000000003" customHeight="1" x14ac:dyDescent="0.25">
      <c r="A31" s="6" t="s">
        <v>1402</v>
      </c>
      <c r="B31" s="7" t="s">
        <v>1403</v>
      </c>
      <c r="C31" s="8">
        <v>1</v>
      </c>
      <c r="D31" s="9">
        <v>23.99</v>
      </c>
      <c r="E31" s="8" t="s">
        <v>1404</v>
      </c>
      <c r="F31" s="7" t="s">
        <v>2512</v>
      </c>
      <c r="G31" s="10" t="s">
        <v>2469</v>
      </c>
      <c r="H31" s="7" t="s">
        <v>2391</v>
      </c>
      <c r="I31" s="7" t="s">
        <v>2561</v>
      </c>
      <c r="J31" s="7" t="s">
        <v>2363</v>
      </c>
      <c r="K31" s="7" t="s">
        <v>2927</v>
      </c>
      <c r="L31" s="11" t="str">
        <f>HYPERLINK("http://slimages.macys.com/is/image/MCY/9725308 ")</f>
        <v xml:space="preserve">http://slimages.macys.com/is/image/MCY/9725308 </v>
      </c>
    </row>
    <row r="32" spans="1:12" ht="39.950000000000003" customHeight="1" x14ac:dyDescent="0.25">
      <c r="A32" s="6" t="s">
        <v>1405</v>
      </c>
      <c r="B32" s="7" t="s">
        <v>1406</v>
      </c>
      <c r="C32" s="8">
        <v>1</v>
      </c>
      <c r="D32" s="9">
        <v>24.99</v>
      </c>
      <c r="E32" s="8">
        <v>64212</v>
      </c>
      <c r="F32" s="7" t="s">
        <v>2355</v>
      </c>
      <c r="G32" s="10"/>
      <c r="H32" s="7" t="s">
        <v>2407</v>
      </c>
      <c r="I32" s="7" t="s">
        <v>2542</v>
      </c>
      <c r="J32" s="7" t="s">
        <v>2452</v>
      </c>
      <c r="K32" s="7" t="s">
        <v>1407</v>
      </c>
      <c r="L32" s="11" t="str">
        <f>HYPERLINK("http://slimages.macys.com/is/image/MCY/14724460 ")</f>
        <v xml:space="preserve">http://slimages.macys.com/is/image/MCY/14724460 </v>
      </c>
    </row>
    <row r="33" spans="1:12" ht="39.950000000000003" customHeight="1" x14ac:dyDescent="0.25">
      <c r="A33" s="6" t="s">
        <v>1408</v>
      </c>
      <c r="B33" s="7" t="s">
        <v>1409</v>
      </c>
      <c r="C33" s="8">
        <v>1</v>
      </c>
      <c r="D33" s="9">
        <v>19.989999999999998</v>
      </c>
      <c r="E33" s="8">
        <v>50707</v>
      </c>
      <c r="F33" s="7" t="s">
        <v>2368</v>
      </c>
      <c r="G33" s="10" t="s">
        <v>2455</v>
      </c>
      <c r="H33" s="7" t="s">
        <v>2391</v>
      </c>
      <c r="I33" s="7" t="s">
        <v>2456</v>
      </c>
      <c r="J33" s="7" t="s">
        <v>2363</v>
      </c>
      <c r="K33" s="7"/>
      <c r="L33" s="11" t="str">
        <f>HYPERLINK("http://slimages.macys.com/is/image/MCY/9972657 ")</f>
        <v xml:space="preserve">http://slimages.macys.com/is/image/MCY/9972657 </v>
      </c>
    </row>
    <row r="34" spans="1:12" ht="39.950000000000003" customHeight="1" x14ac:dyDescent="0.25">
      <c r="A34" s="6" t="s">
        <v>1410</v>
      </c>
      <c r="B34" s="7" t="s">
        <v>1411</v>
      </c>
      <c r="C34" s="8">
        <v>2</v>
      </c>
      <c r="D34" s="9">
        <v>31.98</v>
      </c>
      <c r="E34" s="8">
        <v>57786</v>
      </c>
      <c r="F34" s="7" t="s">
        <v>2615</v>
      </c>
      <c r="G34" s="10" t="s">
        <v>2455</v>
      </c>
      <c r="H34" s="7" t="s">
        <v>2391</v>
      </c>
      <c r="I34" s="7" t="s">
        <v>2456</v>
      </c>
      <c r="J34" s="7" t="s">
        <v>2363</v>
      </c>
      <c r="K34" s="7" t="s">
        <v>2385</v>
      </c>
      <c r="L34" s="11" t="str">
        <f>HYPERLINK("http://slimages.macys.com/is/image/MCY/9590340 ")</f>
        <v xml:space="preserve">http://slimages.macys.com/is/image/MCY/9590340 </v>
      </c>
    </row>
    <row r="35" spans="1:12" ht="39.950000000000003" customHeight="1" x14ac:dyDescent="0.25">
      <c r="A35" s="6" t="s">
        <v>2881</v>
      </c>
      <c r="B35" s="7" t="s">
        <v>2882</v>
      </c>
      <c r="C35" s="8">
        <v>1</v>
      </c>
      <c r="D35" s="9">
        <v>29.99</v>
      </c>
      <c r="E35" s="8" t="s">
        <v>2883</v>
      </c>
      <c r="F35" s="7" t="s">
        <v>2495</v>
      </c>
      <c r="G35" s="10"/>
      <c r="H35" s="7" t="s">
        <v>2458</v>
      </c>
      <c r="I35" s="7" t="s">
        <v>2380</v>
      </c>
      <c r="J35" s="7" t="s">
        <v>2363</v>
      </c>
      <c r="K35" s="7" t="s">
        <v>2421</v>
      </c>
      <c r="L35" s="11" t="str">
        <f>HYPERLINK("http://slimages.macys.com/is/image/MCY/1412015 ")</f>
        <v xml:space="preserve">http://slimages.macys.com/is/image/MCY/1412015 </v>
      </c>
    </row>
    <row r="36" spans="1:12" ht="39.950000000000003" customHeight="1" x14ac:dyDescent="0.25">
      <c r="A36" s="6" t="s">
        <v>1412</v>
      </c>
      <c r="B36" s="7" t="s">
        <v>1413</v>
      </c>
      <c r="C36" s="8">
        <v>1</v>
      </c>
      <c r="D36" s="9">
        <v>17.989999999999998</v>
      </c>
      <c r="E36" s="8" t="s">
        <v>1414</v>
      </c>
      <c r="F36" s="7" t="s">
        <v>2368</v>
      </c>
      <c r="G36" s="10" t="s">
        <v>2441</v>
      </c>
      <c r="H36" s="7" t="s">
        <v>2442</v>
      </c>
      <c r="I36" s="7" t="s">
        <v>2443</v>
      </c>
      <c r="J36" s="7" t="s">
        <v>2363</v>
      </c>
      <c r="K36" s="7" t="s">
        <v>2421</v>
      </c>
      <c r="L36" s="11" t="str">
        <f>HYPERLINK("http://slimages.macys.com/is/image/MCY/3964365 ")</f>
        <v xml:space="preserve">http://slimages.macys.com/is/image/MCY/3964365 </v>
      </c>
    </row>
    <row r="37" spans="1:12" ht="39.950000000000003" customHeight="1" x14ac:dyDescent="0.25">
      <c r="A37" s="6" t="s">
        <v>1415</v>
      </c>
      <c r="B37" s="7" t="s">
        <v>1416</v>
      </c>
      <c r="C37" s="8">
        <v>1</v>
      </c>
      <c r="D37" s="9">
        <v>14.99</v>
      </c>
      <c r="E37" s="8" t="s">
        <v>1417</v>
      </c>
      <c r="F37" s="7" t="s">
        <v>2399</v>
      </c>
      <c r="G37" s="10"/>
      <c r="H37" s="7" t="s">
        <v>2369</v>
      </c>
      <c r="I37" s="7" t="s">
        <v>2409</v>
      </c>
      <c r="J37" s="7" t="s">
        <v>2363</v>
      </c>
      <c r="K37" s="7" t="s">
        <v>1418</v>
      </c>
      <c r="L37" s="11" t="str">
        <f>HYPERLINK("http://slimages.macys.com/is/image/MCY/11113722 ")</f>
        <v xml:space="preserve">http://slimages.macys.com/is/image/MCY/11113722 </v>
      </c>
    </row>
    <row r="38" spans="1:12" ht="39.950000000000003" customHeight="1" x14ac:dyDescent="0.25">
      <c r="A38" s="6" t="s">
        <v>2870</v>
      </c>
      <c r="B38" s="7" t="s">
        <v>2871</v>
      </c>
      <c r="C38" s="8">
        <v>1</v>
      </c>
      <c r="D38" s="9">
        <v>9.99</v>
      </c>
      <c r="E38" s="8" t="s">
        <v>2872</v>
      </c>
      <c r="F38" s="7" t="s">
        <v>2355</v>
      </c>
      <c r="G38" s="10" t="s">
        <v>2441</v>
      </c>
      <c r="H38" s="7" t="s">
        <v>2442</v>
      </c>
      <c r="I38" s="7" t="s">
        <v>2614</v>
      </c>
      <c r="J38" s="7" t="s">
        <v>2363</v>
      </c>
      <c r="K38" s="7" t="s">
        <v>2421</v>
      </c>
      <c r="L38" s="11" t="str">
        <f>HYPERLINK("http://slimages.macys.com/is/image/MCY/12723168 ")</f>
        <v xml:space="preserve">http://slimages.macys.com/is/image/MCY/12723168 </v>
      </c>
    </row>
    <row r="39" spans="1:12" ht="39.950000000000003" customHeight="1" x14ac:dyDescent="0.25">
      <c r="A39" s="6" t="s">
        <v>1419</v>
      </c>
      <c r="B39" s="7" t="s">
        <v>1420</v>
      </c>
      <c r="C39" s="8">
        <v>1</v>
      </c>
      <c r="D39" s="9">
        <v>9.99</v>
      </c>
      <c r="E39" s="8" t="s">
        <v>1421</v>
      </c>
      <c r="F39" s="7" t="s">
        <v>2355</v>
      </c>
      <c r="G39" s="10" t="s">
        <v>2539</v>
      </c>
      <c r="H39" s="7" t="s">
        <v>2407</v>
      </c>
      <c r="I39" s="7" t="s">
        <v>1422</v>
      </c>
      <c r="J39" s="7" t="s">
        <v>2452</v>
      </c>
      <c r="K39" s="7" t="s">
        <v>1423</v>
      </c>
      <c r="L39" s="11" t="str">
        <f>HYPERLINK("http://slimages.macys.com/is/image/MCY/12741094 ")</f>
        <v xml:space="preserve">http://slimages.macys.com/is/image/MCY/12741094 </v>
      </c>
    </row>
    <row r="40" spans="1:12" ht="39.950000000000003" customHeight="1" x14ac:dyDescent="0.25">
      <c r="A40" s="6" t="s">
        <v>2951</v>
      </c>
      <c r="B40" s="7" t="s">
        <v>2952</v>
      </c>
      <c r="C40" s="8">
        <v>1</v>
      </c>
      <c r="D40" s="9">
        <v>99.99</v>
      </c>
      <c r="E40" s="8" t="s">
        <v>2953</v>
      </c>
      <c r="F40" s="7" t="s">
        <v>2933</v>
      </c>
      <c r="G40" s="10"/>
      <c r="H40" s="7" t="s">
        <v>2375</v>
      </c>
      <c r="I40" s="7" t="s">
        <v>2376</v>
      </c>
      <c r="J40" s="7"/>
      <c r="K40" s="7"/>
      <c r="L40" s="11"/>
    </row>
    <row r="41" spans="1:12" ht="39.950000000000003" customHeight="1" x14ac:dyDescent="0.25">
      <c r="A41" s="6" t="s">
        <v>2466</v>
      </c>
      <c r="B41" s="7" t="s">
        <v>2467</v>
      </c>
      <c r="C41" s="8">
        <v>13</v>
      </c>
      <c r="D41" s="9">
        <v>520</v>
      </c>
      <c r="E41" s="8"/>
      <c r="F41" s="7" t="s">
        <v>2468</v>
      </c>
      <c r="G41" s="10" t="s">
        <v>2469</v>
      </c>
      <c r="H41" s="7" t="s">
        <v>2470</v>
      </c>
      <c r="I41" s="7" t="s">
        <v>2471</v>
      </c>
      <c r="J41" s="7"/>
      <c r="K41" s="7"/>
      <c r="L41" s="11"/>
    </row>
    <row r="42" spans="1:12" ht="39.950000000000003" customHeight="1" x14ac:dyDescent="0.25">
      <c r="A42" s="6" t="s">
        <v>1424</v>
      </c>
      <c r="B42" s="7" t="s">
        <v>1425</v>
      </c>
      <c r="C42" s="8">
        <v>1</v>
      </c>
      <c r="D42" s="9">
        <v>69.989999999999995</v>
      </c>
      <c r="E42" s="8" t="s">
        <v>1426</v>
      </c>
      <c r="F42" s="7" t="s">
        <v>2355</v>
      </c>
      <c r="G42" s="10" t="s">
        <v>2519</v>
      </c>
      <c r="H42" s="7" t="s">
        <v>2413</v>
      </c>
      <c r="I42" s="7" t="s">
        <v>2520</v>
      </c>
      <c r="J42" s="7"/>
      <c r="K42" s="7"/>
      <c r="L42" s="11"/>
    </row>
    <row r="43" spans="1:12" ht="39.950000000000003" customHeight="1" x14ac:dyDescent="0.25">
      <c r="A43" s="6" t="s">
        <v>1427</v>
      </c>
      <c r="B43" s="7" t="s">
        <v>1428</v>
      </c>
      <c r="C43" s="8">
        <v>2</v>
      </c>
      <c r="D43" s="9">
        <v>27.98</v>
      </c>
      <c r="E43" s="8" t="s">
        <v>1429</v>
      </c>
      <c r="F43" s="7" t="s">
        <v>2355</v>
      </c>
      <c r="G43" s="10"/>
      <c r="H43" s="7" t="s">
        <v>2413</v>
      </c>
      <c r="I43" s="7" t="s">
        <v>2499</v>
      </c>
      <c r="J43" s="7"/>
      <c r="K43" s="7"/>
      <c r="L43" s="11"/>
    </row>
  </sheetData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56"/>
  <sheetViews>
    <sheetView workbookViewId="0">
      <selection activeCell="B44" sqref="B44"/>
    </sheetView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2350</v>
      </c>
      <c r="I1" s="5" t="s">
        <v>2351</v>
      </c>
      <c r="J1" s="5" t="s">
        <v>2352</v>
      </c>
      <c r="K1" s="5" t="s">
        <v>2353</v>
      </c>
      <c r="L1" s="5" t="s">
        <v>2354</v>
      </c>
    </row>
    <row r="2" spans="1:12" ht="39.950000000000003" customHeight="1" x14ac:dyDescent="0.25">
      <c r="A2" s="6" t="s">
        <v>1430</v>
      </c>
      <c r="B2" s="7" t="s">
        <v>1431</v>
      </c>
      <c r="C2" s="8">
        <v>1</v>
      </c>
      <c r="D2" s="9">
        <v>189</v>
      </c>
      <c r="E2" s="8">
        <v>15306325</v>
      </c>
      <c r="F2" s="7" t="s">
        <v>2355</v>
      </c>
      <c r="G2" s="10"/>
      <c r="H2" s="7" t="s">
        <v>2407</v>
      </c>
      <c r="I2" s="7" t="s">
        <v>2957</v>
      </c>
      <c r="J2" s="7" t="s">
        <v>2795</v>
      </c>
      <c r="K2" s="7" t="s">
        <v>1432</v>
      </c>
      <c r="L2" s="11" t="str">
        <f>HYPERLINK("http://slimages.macys.com/is/image/MCY/13345615 ")</f>
        <v xml:space="preserve">http://slimages.macys.com/is/image/MCY/13345615 </v>
      </c>
    </row>
    <row r="3" spans="1:12" ht="39.950000000000003" customHeight="1" x14ac:dyDescent="0.25">
      <c r="A3" s="6" t="s">
        <v>1433</v>
      </c>
      <c r="B3" s="7" t="s">
        <v>1434</v>
      </c>
      <c r="C3" s="8">
        <v>1</v>
      </c>
      <c r="D3" s="9">
        <v>139.99</v>
      </c>
      <c r="E3" s="8" t="s">
        <v>1435</v>
      </c>
      <c r="F3" s="7" t="s">
        <v>2495</v>
      </c>
      <c r="G3" s="10"/>
      <c r="H3" s="7" t="s">
        <v>2375</v>
      </c>
      <c r="I3" s="7" t="s">
        <v>2376</v>
      </c>
      <c r="J3" s="7"/>
      <c r="K3" s="7"/>
      <c r="L3" s="11" t="str">
        <f>HYPERLINK("http://slimages.macys.com/is/image/MCY/18893487 ")</f>
        <v xml:space="preserve">http://slimages.macys.com/is/image/MCY/18893487 </v>
      </c>
    </row>
    <row r="4" spans="1:12" ht="39.950000000000003" customHeight="1" x14ac:dyDescent="0.25">
      <c r="A4" s="6" t="s">
        <v>1436</v>
      </c>
      <c r="B4" s="7" t="s">
        <v>1437</v>
      </c>
      <c r="C4" s="8">
        <v>1</v>
      </c>
      <c r="D4" s="9">
        <v>119.99</v>
      </c>
      <c r="E4" s="8" t="s">
        <v>1438</v>
      </c>
      <c r="F4" s="7" t="s">
        <v>1439</v>
      </c>
      <c r="G4" s="10" t="s">
        <v>2473</v>
      </c>
      <c r="H4" s="7" t="s">
        <v>2383</v>
      </c>
      <c r="I4" s="7" t="s">
        <v>2474</v>
      </c>
      <c r="J4" s="7" t="s">
        <v>2363</v>
      </c>
      <c r="K4" s="7" t="s">
        <v>1440</v>
      </c>
      <c r="L4" s="11" t="str">
        <f>HYPERLINK("http://slimages.macys.com/is/image/MCY/3974627 ")</f>
        <v xml:space="preserve">http://slimages.macys.com/is/image/MCY/3974627 </v>
      </c>
    </row>
    <row r="5" spans="1:12" ht="39.950000000000003" customHeight="1" x14ac:dyDescent="0.25">
      <c r="A5" s="6" t="s">
        <v>1441</v>
      </c>
      <c r="B5" s="7" t="s">
        <v>1442</v>
      </c>
      <c r="C5" s="8">
        <v>1</v>
      </c>
      <c r="D5" s="9">
        <v>159.99</v>
      </c>
      <c r="E5" s="8" t="s">
        <v>1443</v>
      </c>
      <c r="F5" s="7" t="s">
        <v>2495</v>
      </c>
      <c r="G5" s="10"/>
      <c r="H5" s="7" t="s">
        <v>2729</v>
      </c>
      <c r="I5" s="7" t="s">
        <v>2730</v>
      </c>
      <c r="J5" s="7"/>
      <c r="K5" s="7"/>
      <c r="L5" s="11" t="str">
        <f>HYPERLINK("http://slimages.macys.com/is/image/MCY/16903327 ")</f>
        <v xml:space="preserve">http://slimages.macys.com/is/image/MCY/16903327 </v>
      </c>
    </row>
    <row r="6" spans="1:12" ht="39.950000000000003" customHeight="1" x14ac:dyDescent="0.25">
      <c r="A6" s="6" t="s">
        <v>1444</v>
      </c>
      <c r="B6" s="7" t="s">
        <v>1445</v>
      </c>
      <c r="C6" s="8">
        <v>1</v>
      </c>
      <c r="D6" s="9">
        <v>179.99</v>
      </c>
      <c r="E6" s="8" t="s">
        <v>1446</v>
      </c>
      <c r="F6" s="7" t="s">
        <v>2362</v>
      </c>
      <c r="G6" s="10"/>
      <c r="H6" s="7" t="s">
        <v>2357</v>
      </c>
      <c r="I6" s="7" t="s">
        <v>2476</v>
      </c>
      <c r="J6" s="7" t="s">
        <v>2363</v>
      </c>
      <c r="K6" s="7"/>
      <c r="L6" s="11" t="str">
        <f>HYPERLINK("http://slimages.macys.com/is/image/MCY/9021459 ")</f>
        <v xml:space="preserve">http://slimages.macys.com/is/image/MCY/9021459 </v>
      </c>
    </row>
    <row r="7" spans="1:12" ht="39.950000000000003" customHeight="1" x14ac:dyDescent="0.25">
      <c r="A7" s="6" t="s">
        <v>1447</v>
      </c>
      <c r="B7" s="7" t="s">
        <v>1448</v>
      </c>
      <c r="C7" s="8">
        <v>1</v>
      </c>
      <c r="D7" s="9">
        <v>95.99</v>
      </c>
      <c r="E7" s="8" t="s">
        <v>1449</v>
      </c>
      <c r="F7" s="7" t="s">
        <v>2495</v>
      </c>
      <c r="G7" s="10"/>
      <c r="H7" s="7" t="s">
        <v>2391</v>
      </c>
      <c r="I7" s="7" t="s">
        <v>2409</v>
      </c>
      <c r="J7" s="7" t="s">
        <v>2363</v>
      </c>
      <c r="K7" s="7" t="s">
        <v>2919</v>
      </c>
      <c r="L7" s="11" t="str">
        <f>HYPERLINK("http://slimages.macys.com/is/image/MCY/9798710 ")</f>
        <v xml:space="preserve">http://slimages.macys.com/is/image/MCY/9798710 </v>
      </c>
    </row>
    <row r="8" spans="1:12" ht="39.950000000000003" customHeight="1" x14ac:dyDescent="0.25">
      <c r="A8" s="6" t="s">
        <v>1450</v>
      </c>
      <c r="B8" s="7" t="s">
        <v>1451</v>
      </c>
      <c r="C8" s="8">
        <v>2</v>
      </c>
      <c r="D8" s="9">
        <v>183.98</v>
      </c>
      <c r="E8" s="8" t="s">
        <v>1452</v>
      </c>
      <c r="F8" s="7" t="s">
        <v>2495</v>
      </c>
      <c r="G8" s="10" t="s">
        <v>1453</v>
      </c>
      <c r="H8" s="7" t="s">
        <v>2391</v>
      </c>
      <c r="I8" s="7" t="s">
        <v>1454</v>
      </c>
      <c r="J8" s="7" t="s">
        <v>2363</v>
      </c>
      <c r="K8" s="7" t="s">
        <v>2385</v>
      </c>
      <c r="L8" s="11" t="str">
        <f>HYPERLINK("http://slimages.macys.com/is/image/MCY/12473201 ")</f>
        <v xml:space="preserve">http://slimages.macys.com/is/image/MCY/12473201 </v>
      </c>
    </row>
    <row r="9" spans="1:12" ht="39.950000000000003" customHeight="1" x14ac:dyDescent="0.25">
      <c r="A9" s="6" t="s">
        <v>1455</v>
      </c>
      <c r="B9" s="7" t="s">
        <v>1456</v>
      </c>
      <c r="C9" s="8">
        <v>1</v>
      </c>
      <c r="D9" s="9">
        <v>88.99</v>
      </c>
      <c r="E9" s="8" t="s">
        <v>1457</v>
      </c>
      <c r="F9" s="7" t="s">
        <v>2446</v>
      </c>
      <c r="G9" s="10"/>
      <c r="H9" s="7" t="s">
        <v>2369</v>
      </c>
      <c r="I9" s="7" t="s">
        <v>2431</v>
      </c>
      <c r="J9" s="7" t="s">
        <v>2363</v>
      </c>
      <c r="K9" s="7" t="s">
        <v>2385</v>
      </c>
      <c r="L9" s="11" t="str">
        <f>HYPERLINK("http://slimages.macys.com/is/image/MCY/15169493 ")</f>
        <v xml:space="preserve">http://slimages.macys.com/is/image/MCY/15169493 </v>
      </c>
    </row>
    <row r="10" spans="1:12" ht="39.950000000000003" customHeight="1" x14ac:dyDescent="0.25">
      <c r="A10" s="6" t="s">
        <v>2924</v>
      </c>
      <c r="B10" s="7" t="s">
        <v>2925</v>
      </c>
      <c r="C10" s="8">
        <v>1</v>
      </c>
      <c r="D10" s="9">
        <v>79.989999999999995</v>
      </c>
      <c r="E10" s="8">
        <v>10002473500</v>
      </c>
      <c r="F10" s="7" t="s">
        <v>2362</v>
      </c>
      <c r="G10" s="10"/>
      <c r="H10" s="7" t="s">
        <v>2357</v>
      </c>
      <c r="I10" s="7" t="s">
        <v>2358</v>
      </c>
      <c r="J10" s="7" t="s">
        <v>2363</v>
      </c>
      <c r="K10" s="7"/>
      <c r="L10" s="11" t="str">
        <f>HYPERLINK("http://slimages.macys.com/is/image/MCY/9746274 ")</f>
        <v xml:space="preserve">http://slimages.macys.com/is/image/MCY/9746274 </v>
      </c>
    </row>
    <row r="11" spans="1:12" ht="39.950000000000003" customHeight="1" x14ac:dyDescent="0.25">
      <c r="A11" s="6" t="s">
        <v>3255</v>
      </c>
      <c r="B11" s="7" t="s">
        <v>3256</v>
      </c>
      <c r="C11" s="8">
        <v>1</v>
      </c>
      <c r="D11" s="9">
        <v>59.99</v>
      </c>
      <c r="E11" s="8" t="s">
        <v>3257</v>
      </c>
      <c r="F11" s="7" t="s">
        <v>2368</v>
      </c>
      <c r="G11" s="10" t="s">
        <v>2932</v>
      </c>
      <c r="H11" s="7" t="s">
        <v>2432</v>
      </c>
      <c r="I11" s="7" t="s">
        <v>2433</v>
      </c>
      <c r="J11" s="7" t="s">
        <v>2363</v>
      </c>
      <c r="K11" s="7"/>
      <c r="L11" s="11" t="str">
        <f>HYPERLINK("http://slimages.macys.com/is/image/MCY/10123000 ")</f>
        <v xml:space="preserve">http://slimages.macys.com/is/image/MCY/10123000 </v>
      </c>
    </row>
    <row r="12" spans="1:12" ht="39.950000000000003" customHeight="1" x14ac:dyDescent="0.25">
      <c r="A12" s="6" t="s">
        <v>1458</v>
      </c>
      <c r="B12" s="7" t="s">
        <v>1459</v>
      </c>
      <c r="C12" s="8">
        <v>2</v>
      </c>
      <c r="D12" s="9">
        <v>131.97999999999999</v>
      </c>
      <c r="E12" s="8" t="s">
        <v>1460</v>
      </c>
      <c r="F12" s="7" t="s">
        <v>2399</v>
      </c>
      <c r="G12" s="10" t="s">
        <v>2469</v>
      </c>
      <c r="H12" s="7" t="s">
        <v>2391</v>
      </c>
      <c r="I12" s="7" t="s">
        <v>1461</v>
      </c>
      <c r="J12" s="7" t="s">
        <v>2363</v>
      </c>
      <c r="K12" s="7" t="s">
        <v>2389</v>
      </c>
      <c r="L12" s="11" t="str">
        <f>HYPERLINK("http://slimages.macys.com/is/image/MCY/15913516 ")</f>
        <v xml:space="preserve">http://slimages.macys.com/is/image/MCY/15913516 </v>
      </c>
    </row>
    <row r="13" spans="1:12" ht="39.950000000000003" customHeight="1" x14ac:dyDescent="0.25">
      <c r="A13" s="6" t="s">
        <v>1462</v>
      </c>
      <c r="B13" s="7" t="s">
        <v>1463</v>
      </c>
      <c r="C13" s="8">
        <v>1</v>
      </c>
      <c r="D13" s="9">
        <v>39.99</v>
      </c>
      <c r="E13" s="8">
        <v>19351232</v>
      </c>
      <c r="F13" s="7" t="s">
        <v>2355</v>
      </c>
      <c r="G13" s="10"/>
      <c r="H13" s="7" t="s">
        <v>2387</v>
      </c>
      <c r="I13" s="7" t="s">
        <v>2370</v>
      </c>
      <c r="J13" s="7" t="s">
        <v>2363</v>
      </c>
      <c r="K13" s="7"/>
      <c r="L13" s="11" t="str">
        <f>HYPERLINK("http://slimages.macys.com/is/image/MCY/10010890 ")</f>
        <v xml:space="preserve">http://slimages.macys.com/is/image/MCY/10010890 </v>
      </c>
    </row>
    <row r="14" spans="1:12" ht="39.950000000000003" customHeight="1" x14ac:dyDescent="0.25">
      <c r="A14" s="6" t="s">
        <v>1464</v>
      </c>
      <c r="B14" s="7" t="s">
        <v>1465</v>
      </c>
      <c r="C14" s="8">
        <v>1</v>
      </c>
      <c r="D14" s="9">
        <v>49.99</v>
      </c>
      <c r="E14" s="8" t="s">
        <v>1466</v>
      </c>
      <c r="F14" s="7" t="s">
        <v>2368</v>
      </c>
      <c r="G14" s="10"/>
      <c r="H14" s="7" t="s">
        <v>2387</v>
      </c>
      <c r="I14" s="7" t="s">
        <v>2425</v>
      </c>
      <c r="J14" s="7" t="s">
        <v>2363</v>
      </c>
      <c r="K14" s="7" t="s">
        <v>1467</v>
      </c>
      <c r="L14" s="11" t="str">
        <f>HYPERLINK("http://slimages.macys.com/is/image/MCY/10981902 ")</f>
        <v xml:space="preserve">http://slimages.macys.com/is/image/MCY/10981902 </v>
      </c>
    </row>
    <row r="15" spans="1:12" ht="39.950000000000003" customHeight="1" x14ac:dyDescent="0.25">
      <c r="A15" s="6" t="s">
        <v>1468</v>
      </c>
      <c r="B15" s="7" t="s">
        <v>1469</v>
      </c>
      <c r="C15" s="8">
        <v>1</v>
      </c>
      <c r="D15" s="9">
        <v>41.99</v>
      </c>
      <c r="E15" s="8" t="s">
        <v>1470</v>
      </c>
      <c r="F15" s="7" t="s">
        <v>2403</v>
      </c>
      <c r="G15" s="10"/>
      <c r="H15" s="7" t="s">
        <v>2387</v>
      </c>
      <c r="I15" s="7" t="s">
        <v>2779</v>
      </c>
      <c r="J15" s="7" t="s">
        <v>2363</v>
      </c>
      <c r="K15" s="7" t="s">
        <v>2385</v>
      </c>
      <c r="L15" s="11" t="str">
        <f>HYPERLINK("http://slimages.macys.com/is/image/MCY/10682854 ")</f>
        <v xml:space="preserve">http://slimages.macys.com/is/image/MCY/10682854 </v>
      </c>
    </row>
    <row r="16" spans="1:12" ht="39.950000000000003" customHeight="1" x14ac:dyDescent="0.25">
      <c r="A16" s="6" t="s">
        <v>2899</v>
      </c>
      <c r="B16" s="7" t="s">
        <v>2900</v>
      </c>
      <c r="C16" s="8">
        <v>1</v>
      </c>
      <c r="D16" s="9">
        <v>49.99</v>
      </c>
      <c r="E16" s="8">
        <v>19572229</v>
      </c>
      <c r="F16" s="7" t="s">
        <v>2512</v>
      </c>
      <c r="G16" s="10"/>
      <c r="H16" s="7" t="s">
        <v>2369</v>
      </c>
      <c r="I16" s="7" t="s">
        <v>2370</v>
      </c>
      <c r="J16" s="7" t="s">
        <v>2496</v>
      </c>
      <c r="K16" s="7" t="s">
        <v>2513</v>
      </c>
      <c r="L16" s="11" t="str">
        <f>HYPERLINK("http://slimages.macys.com/is/image/MCY/10622355 ")</f>
        <v xml:space="preserve">http://slimages.macys.com/is/image/MCY/10622355 </v>
      </c>
    </row>
    <row r="17" spans="1:12" ht="39.950000000000003" customHeight="1" x14ac:dyDescent="0.25">
      <c r="A17" s="6" t="s">
        <v>1471</v>
      </c>
      <c r="B17" s="7" t="s">
        <v>1472</v>
      </c>
      <c r="C17" s="8">
        <v>2</v>
      </c>
      <c r="D17" s="9">
        <v>99.98</v>
      </c>
      <c r="E17" s="8" t="s">
        <v>1473</v>
      </c>
      <c r="F17" s="7" t="s">
        <v>2512</v>
      </c>
      <c r="G17" s="10"/>
      <c r="H17" s="7" t="s">
        <v>2369</v>
      </c>
      <c r="I17" s="7" t="s">
        <v>2370</v>
      </c>
      <c r="J17" s="7" t="s">
        <v>2363</v>
      </c>
      <c r="K17" s="7" t="s">
        <v>2385</v>
      </c>
      <c r="L17" s="11" t="str">
        <f>HYPERLINK("http://slimages.macys.com/is/image/MCY/8347198 ")</f>
        <v xml:space="preserve">http://slimages.macys.com/is/image/MCY/8347198 </v>
      </c>
    </row>
    <row r="18" spans="1:12" ht="39.950000000000003" customHeight="1" x14ac:dyDescent="0.25">
      <c r="A18" s="6" t="s">
        <v>1474</v>
      </c>
      <c r="B18" s="7" t="s">
        <v>1475</v>
      </c>
      <c r="C18" s="8">
        <v>1</v>
      </c>
      <c r="D18" s="9">
        <v>46.99</v>
      </c>
      <c r="E18" s="8" t="s">
        <v>1476</v>
      </c>
      <c r="F18" s="7" t="s">
        <v>2355</v>
      </c>
      <c r="G18" s="10"/>
      <c r="H18" s="7" t="s">
        <v>2391</v>
      </c>
      <c r="I18" s="7" t="s">
        <v>2409</v>
      </c>
      <c r="J18" s="7" t="s">
        <v>2363</v>
      </c>
      <c r="K18" s="7" t="s">
        <v>2385</v>
      </c>
      <c r="L18" s="11" t="str">
        <f>HYPERLINK("http://slimages.macys.com/is/image/MCY/9192778 ")</f>
        <v xml:space="preserve">http://slimages.macys.com/is/image/MCY/9192778 </v>
      </c>
    </row>
    <row r="19" spans="1:12" ht="39.950000000000003" customHeight="1" x14ac:dyDescent="0.25">
      <c r="A19" s="6" t="s">
        <v>1477</v>
      </c>
      <c r="B19" s="7" t="s">
        <v>1478</v>
      </c>
      <c r="C19" s="8">
        <v>1</v>
      </c>
      <c r="D19" s="9">
        <v>69.989999999999995</v>
      </c>
      <c r="E19" s="8" t="s">
        <v>1479</v>
      </c>
      <c r="F19" s="7" t="s">
        <v>2355</v>
      </c>
      <c r="G19" s="10"/>
      <c r="H19" s="7" t="s">
        <v>2357</v>
      </c>
      <c r="I19" s="7" t="s">
        <v>2593</v>
      </c>
      <c r="J19" s="7" t="s">
        <v>2363</v>
      </c>
      <c r="K19" s="7" t="s">
        <v>2800</v>
      </c>
      <c r="L19" s="11" t="str">
        <f>HYPERLINK("http://slimages.macys.com/is/image/MCY/9353030 ")</f>
        <v xml:space="preserve">http://slimages.macys.com/is/image/MCY/9353030 </v>
      </c>
    </row>
    <row r="20" spans="1:12" ht="39.950000000000003" customHeight="1" x14ac:dyDescent="0.25">
      <c r="A20" s="6" t="s">
        <v>1480</v>
      </c>
      <c r="B20" s="7" t="s">
        <v>1481</v>
      </c>
      <c r="C20" s="8">
        <v>1</v>
      </c>
      <c r="D20" s="9">
        <v>37.99</v>
      </c>
      <c r="E20" s="8" t="s">
        <v>1482</v>
      </c>
      <c r="F20" s="7" t="s">
        <v>2417</v>
      </c>
      <c r="G20" s="10"/>
      <c r="H20" s="7" t="s">
        <v>2391</v>
      </c>
      <c r="I20" s="7" t="s">
        <v>2515</v>
      </c>
      <c r="J20" s="7" t="s">
        <v>2363</v>
      </c>
      <c r="K20" s="7" t="s">
        <v>2385</v>
      </c>
      <c r="L20" s="11" t="str">
        <f>HYPERLINK("http://slimages.macys.com/is/image/MCY/9168183 ")</f>
        <v xml:space="preserve">http://slimages.macys.com/is/image/MCY/9168183 </v>
      </c>
    </row>
    <row r="21" spans="1:12" ht="39.950000000000003" customHeight="1" x14ac:dyDescent="0.25">
      <c r="A21" s="6" t="s">
        <v>1483</v>
      </c>
      <c r="B21" s="7" t="s">
        <v>1484</v>
      </c>
      <c r="C21" s="8">
        <v>1</v>
      </c>
      <c r="D21" s="9">
        <v>39.99</v>
      </c>
      <c r="E21" s="8" t="s">
        <v>1485</v>
      </c>
      <c r="F21" s="7" t="s">
        <v>2481</v>
      </c>
      <c r="G21" s="10"/>
      <c r="H21" s="7" t="s">
        <v>2387</v>
      </c>
      <c r="I21" s="7" t="s">
        <v>2404</v>
      </c>
      <c r="J21" s="7"/>
      <c r="K21" s="7"/>
      <c r="L21" s="11" t="str">
        <f>HYPERLINK("http://slimages.macys.com/is/image/MCY/17968749 ")</f>
        <v xml:space="preserve">http://slimages.macys.com/is/image/MCY/17968749 </v>
      </c>
    </row>
    <row r="22" spans="1:12" ht="39.950000000000003" customHeight="1" x14ac:dyDescent="0.25">
      <c r="A22" s="6" t="s">
        <v>1486</v>
      </c>
      <c r="B22" s="7" t="s">
        <v>1487</v>
      </c>
      <c r="C22" s="8">
        <v>1</v>
      </c>
      <c r="D22" s="9">
        <v>51.99</v>
      </c>
      <c r="E22" s="8" t="s">
        <v>1488</v>
      </c>
      <c r="F22" s="7" t="s">
        <v>3009</v>
      </c>
      <c r="G22" s="10"/>
      <c r="H22" s="7" t="s">
        <v>2369</v>
      </c>
      <c r="I22" s="7" t="s">
        <v>2661</v>
      </c>
      <c r="J22" s="7" t="s">
        <v>2363</v>
      </c>
      <c r="K22" s="7" t="s">
        <v>2385</v>
      </c>
      <c r="L22" s="11" t="str">
        <f>HYPERLINK("http://slimages.macys.com/is/image/MCY/10654724 ")</f>
        <v xml:space="preserve">http://slimages.macys.com/is/image/MCY/10654724 </v>
      </c>
    </row>
    <row r="23" spans="1:12" ht="39.950000000000003" customHeight="1" x14ac:dyDescent="0.25">
      <c r="A23" s="6" t="s">
        <v>1489</v>
      </c>
      <c r="B23" s="7" t="s">
        <v>1490</v>
      </c>
      <c r="C23" s="8">
        <v>1</v>
      </c>
      <c r="D23" s="9">
        <v>39.99</v>
      </c>
      <c r="E23" s="8" t="s">
        <v>1491</v>
      </c>
      <c r="F23" s="7" t="s">
        <v>2368</v>
      </c>
      <c r="G23" s="10"/>
      <c r="H23" s="7" t="s">
        <v>2532</v>
      </c>
      <c r="I23" s="7" t="s">
        <v>2409</v>
      </c>
      <c r="J23" s="7" t="s">
        <v>2363</v>
      </c>
      <c r="K23" s="7" t="s">
        <v>2385</v>
      </c>
      <c r="L23" s="11" t="str">
        <f>HYPERLINK("http://slimages.macys.com/is/image/MCY/10082172 ")</f>
        <v xml:space="preserve">http://slimages.macys.com/is/image/MCY/10082172 </v>
      </c>
    </row>
    <row r="24" spans="1:12" ht="39.950000000000003" customHeight="1" x14ac:dyDescent="0.25">
      <c r="A24" s="6" t="s">
        <v>1492</v>
      </c>
      <c r="B24" s="7" t="s">
        <v>1493</v>
      </c>
      <c r="C24" s="8">
        <v>2</v>
      </c>
      <c r="D24" s="9">
        <v>81.98</v>
      </c>
      <c r="E24" s="8" t="s">
        <v>1494</v>
      </c>
      <c r="F24" s="7" t="s">
        <v>2355</v>
      </c>
      <c r="G24" s="10"/>
      <c r="H24" s="7" t="s">
        <v>2391</v>
      </c>
      <c r="I24" s="7" t="s">
        <v>2409</v>
      </c>
      <c r="J24" s="7" t="s">
        <v>2363</v>
      </c>
      <c r="K24" s="7"/>
      <c r="L24" s="11" t="str">
        <f>HYPERLINK("http://slimages.macys.com/is/image/MCY/9192504 ")</f>
        <v xml:space="preserve">http://slimages.macys.com/is/image/MCY/9192504 </v>
      </c>
    </row>
    <row r="25" spans="1:12" ht="39.950000000000003" customHeight="1" x14ac:dyDescent="0.25">
      <c r="A25" s="6" t="s">
        <v>1495</v>
      </c>
      <c r="B25" s="7" t="s">
        <v>1496</v>
      </c>
      <c r="C25" s="8">
        <v>1</v>
      </c>
      <c r="D25" s="9">
        <v>39.99</v>
      </c>
      <c r="E25" s="8" t="s">
        <v>1497</v>
      </c>
      <c r="F25" s="7" t="s">
        <v>2355</v>
      </c>
      <c r="G25" s="10"/>
      <c r="H25" s="7" t="s">
        <v>2407</v>
      </c>
      <c r="I25" s="7" t="s">
        <v>1498</v>
      </c>
      <c r="J25" s="7" t="s">
        <v>2363</v>
      </c>
      <c r="K25" s="7" t="s">
        <v>2662</v>
      </c>
      <c r="L25" s="11" t="str">
        <f>HYPERLINK("http://slimages.macys.com/is/image/MCY/15950305 ")</f>
        <v xml:space="preserve">http://slimages.macys.com/is/image/MCY/15950305 </v>
      </c>
    </row>
    <row r="26" spans="1:12" ht="39.950000000000003" customHeight="1" x14ac:dyDescent="0.25">
      <c r="A26" s="6" t="s">
        <v>1499</v>
      </c>
      <c r="B26" s="7" t="s">
        <v>1500</v>
      </c>
      <c r="C26" s="8">
        <v>1</v>
      </c>
      <c r="D26" s="9">
        <v>32.99</v>
      </c>
      <c r="E26" s="8" t="s">
        <v>1501</v>
      </c>
      <c r="F26" s="7" t="s">
        <v>2623</v>
      </c>
      <c r="G26" s="10"/>
      <c r="H26" s="7" t="s">
        <v>2532</v>
      </c>
      <c r="I26" s="7" t="s">
        <v>2566</v>
      </c>
      <c r="J26" s="7" t="s">
        <v>2363</v>
      </c>
      <c r="K26" s="7" t="s">
        <v>1502</v>
      </c>
      <c r="L26" s="11" t="str">
        <f>HYPERLINK("http://slimages.macys.com/is/image/MCY/14465089 ")</f>
        <v xml:space="preserve">http://slimages.macys.com/is/image/MCY/14465089 </v>
      </c>
    </row>
    <row r="27" spans="1:12" ht="39.950000000000003" customHeight="1" x14ac:dyDescent="0.25">
      <c r="A27" s="6" t="s">
        <v>2985</v>
      </c>
      <c r="B27" s="7" t="s">
        <v>2986</v>
      </c>
      <c r="C27" s="8">
        <v>2</v>
      </c>
      <c r="D27" s="9">
        <v>79.98</v>
      </c>
      <c r="E27" s="8" t="s">
        <v>2987</v>
      </c>
      <c r="F27" s="7" t="s">
        <v>2355</v>
      </c>
      <c r="G27" s="10"/>
      <c r="H27" s="7" t="s">
        <v>2548</v>
      </c>
      <c r="I27" s="7" t="s">
        <v>2718</v>
      </c>
      <c r="J27" s="7" t="s">
        <v>2363</v>
      </c>
      <c r="K27" s="7" t="s">
        <v>2389</v>
      </c>
      <c r="L27" s="11" t="str">
        <f>HYPERLINK("http://slimages.macys.com/is/image/MCY/2620611 ")</f>
        <v xml:space="preserve">http://slimages.macys.com/is/image/MCY/2620611 </v>
      </c>
    </row>
    <row r="28" spans="1:12" ht="39.950000000000003" customHeight="1" x14ac:dyDescent="0.25">
      <c r="A28" s="6" t="s">
        <v>1503</v>
      </c>
      <c r="B28" s="7" t="s">
        <v>1504</v>
      </c>
      <c r="C28" s="8">
        <v>1</v>
      </c>
      <c r="D28" s="9">
        <v>29.99</v>
      </c>
      <c r="E28" s="8" t="s">
        <v>1505</v>
      </c>
      <c r="F28" s="7" t="s">
        <v>2368</v>
      </c>
      <c r="G28" s="10" t="s">
        <v>2426</v>
      </c>
      <c r="H28" s="7" t="s">
        <v>2391</v>
      </c>
      <c r="I28" s="7" t="s">
        <v>2409</v>
      </c>
      <c r="J28" s="7" t="s">
        <v>2363</v>
      </c>
      <c r="K28" s="7" t="s">
        <v>1506</v>
      </c>
      <c r="L28" s="11" t="str">
        <f>HYPERLINK("http://slimages.macys.com/is/image/MCY/8064927 ")</f>
        <v xml:space="preserve">http://slimages.macys.com/is/image/MCY/8064927 </v>
      </c>
    </row>
    <row r="29" spans="1:12" ht="39.950000000000003" customHeight="1" x14ac:dyDescent="0.25">
      <c r="A29" s="6" t="s">
        <v>1507</v>
      </c>
      <c r="B29" s="7" t="s">
        <v>1508</v>
      </c>
      <c r="C29" s="8">
        <v>1</v>
      </c>
      <c r="D29" s="9">
        <v>41.99</v>
      </c>
      <c r="E29" s="8" t="s">
        <v>2990</v>
      </c>
      <c r="F29" s="7" t="s">
        <v>2623</v>
      </c>
      <c r="G29" s="10"/>
      <c r="H29" s="7" t="s">
        <v>2545</v>
      </c>
      <c r="I29" s="7" t="s">
        <v>2546</v>
      </c>
      <c r="J29" s="7"/>
      <c r="K29" s="7" t="s">
        <v>1509</v>
      </c>
      <c r="L29" s="11" t="str">
        <f>HYPERLINK("http://slimages.macys.com/is/image/MCY/9489266 ")</f>
        <v xml:space="preserve">http://slimages.macys.com/is/image/MCY/9489266 </v>
      </c>
    </row>
    <row r="30" spans="1:12" ht="39.950000000000003" customHeight="1" x14ac:dyDescent="0.25">
      <c r="A30" s="6" t="s">
        <v>1510</v>
      </c>
      <c r="B30" s="7" t="s">
        <v>1511</v>
      </c>
      <c r="C30" s="8">
        <v>1</v>
      </c>
      <c r="D30" s="9">
        <v>26.99</v>
      </c>
      <c r="E30" s="8" t="s">
        <v>1512</v>
      </c>
      <c r="F30" s="7" t="s">
        <v>2368</v>
      </c>
      <c r="G30" s="10" t="s">
        <v>2426</v>
      </c>
      <c r="H30" s="7" t="s">
        <v>2391</v>
      </c>
      <c r="I30" s="7" t="s">
        <v>2409</v>
      </c>
      <c r="J30" s="7" t="s">
        <v>2363</v>
      </c>
      <c r="K30" s="7" t="s">
        <v>1513</v>
      </c>
      <c r="L30" s="11" t="str">
        <f>HYPERLINK("http://slimages.macys.com/is/image/MCY/10015353 ")</f>
        <v xml:space="preserve">http://slimages.macys.com/is/image/MCY/10015353 </v>
      </c>
    </row>
    <row r="31" spans="1:12" ht="39.950000000000003" customHeight="1" x14ac:dyDescent="0.25">
      <c r="A31" s="6" t="s">
        <v>1514</v>
      </c>
      <c r="B31" s="7" t="s">
        <v>1515</v>
      </c>
      <c r="C31" s="8">
        <v>1</v>
      </c>
      <c r="D31" s="9">
        <v>28.99</v>
      </c>
      <c r="E31" s="8">
        <v>17790</v>
      </c>
      <c r="F31" s="7" t="s">
        <v>2417</v>
      </c>
      <c r="G31" s="10" t="s">
        <v>2469</v>
      </c>
      <c r="H31" s="7" t="s">
        <v>2391</v>
      </c>
      <c r="I31" s="7" t="s">
        <v>2515</v>
      </c>
      <c r="J31" s="7" t="s">
        <v>2363</v>
      </c>
      <c r="K31" s="7" t="s">
        <v>2385</v>
      </c>
      <c r="L31" s="11" t="str">
        <f>HYPERLINK("http://slimages.macys.com/is/image/MCY/9316073 ")</f>
        <v xml:space="preserve">http://slimages.macys.com/is/image/MCY/9316073 </v>
      </c>
    </row>
    <row r="32" spans="1:12" ht="39.950000000000003" customHeight="1" x14ac:dyDescent="0.25">
      <c r="A32" s="6" t="s">
        <v>1516</v>
      </c>
      <c r="B32" s="7" t="s">
        <v>1517</v>
      </c>
      <c r="C32" s="8">
        <v>1</v>
      </c>
      <c r="D32" s="9">
        <v>100</v>
      </c>
      <c r="E32" s="8" t="s">
        <v>1518</v>
      </c>
      <c r="F32" s="7" t="s">
        <v>2436</v>
      </c>
      <c r="G32" s="10"/>
      <c r="H32" s="7" t="s">
        <v>2357</v>
      </c>
      <c r="I32" s="7" t="s">
        <v>2739</v>
      </c>
      <c r="J32" s="7" t="s">
        <v>2740</v>
      </c>
      <c r="K32" s="7" t="s">
        <v>2741</v>
      </c>
      <c r="L32" s="11" t="str">
        <f>HYPERLINK("http://images.bloomingdales.com/is/image/BLM/9082370 ")</f>
        <v xml:space="preserve">http://images.bloomingdales.com/is/image/BLM/9082370 </v>
      </c>
    </row>
    <row r="33" spans="1:12" ht="39.950000000000003" customHeight="1" x14ac:dyDescent="0.25">
      <c r="A33" s="6" t="s">
        <v>1519</v>
      </c>
      <c r="B33" s="7" t="s">
        <v>1520</v>
      </c>
      <c r="C33" s="8">
        <v>1</v>
      </c>
      <c r="D33" s="9">
        <v>29.99</v>
      </c>
      <c r="E33" s="8" t="s">
        <v>2637</v>
      </c>
      <c r="F33" s="7" t="s">
        <v>2534</v>
      </c>
      <c r="G33" s="10" t="s">
        <v>2595</v>
      </c>
      <c r="H33" s="7" t="s">
        <v>2548</v>
      </c>
      <c r="I33" s="7" t="s">
        <v>2638</v>
      </c>
      <c r="J33" s="7" t="s">
        <v>2363</v>
      </c>
      <c r="K33" s="7"/>
      <c r="L33" s="11" t="str">
        <f>HYPERLINK("http://slimages.macys.com/is/image/MCY/9356828 ")</f>
        <v xml:space="preserve">http://slimages.macys.com/is/image/MCY/9356828 </v>
      </c>
    </row>
    <row r="34" spans="1:12" ht="39.950000000000003" customHeight="1" x14ac:dyDescent="0.25">
      <c r="A34" s="6" t="s">
        <v>1521</v>
      </c>
      <c r="B34" s="7" t="s">
        <v>1522</v>
      </c>
      <c r="C34" s="8">
        <v>1</v>
      </c>
      <c r="D34" s="9">
        <v>22.99</v>
      </c>
      <c r="E34" s="8" t="s">
        <v>1523</v>
      </c>
      <c r="F34" s="7" t="s">
        <v>2436</v>
      </c>
      <c r="G34" s="10"/>
      <c r="H34" s="7" t="s">
        <v>2532</v>
      </c>
      <c r="I34" s="7" t="s">
        <v>2635</v>
      </c>
      <c r="J34" s="7"/>
      <c r="K34" s="7"/>
      <c r="L34" s="11" t="str">
        <f>HYPERLINK("http://slimages.macys.com/is/image/MCY/18542802 ")</f>
        <v xml:space="preserve">http://slimages.macys.com/is/image/MCY/18542802 </v>
      </c>
    </row>
    <row r="35" spans="1:12" ht="39.950000000000003" customHeight="1" x14ac:dyDescent="0.25">
      <c r="A35" s="6" t="s">
        <v>1524</v>
      </c>
      <c r="B35" s="7" t="s">
        <v>1525</v>
      </c>
      <c r="C35" s="8">
        <v>1</v>
      </c>
      <c r="D35" s="9">
        <v>29.99</v>
      </c>
      <c r="E35" s="8" t="s">
        <v>1526</v>
      </c>
      <c r="F35" s="7" t="s">
        <v>1527</v>
      </c>
      <c r="G35" s="10" t="s">
        <v>2441</v>
      </c>
      <c r="H35" s="7" t="s">
        <v>2442</v>
      </c>
      <c r="I35" s="7" t="s">
        <v>2443</v>
      </c>
      <c r="J35" s="7" t="s">
        <v>2363</v>
      </c>
      <c r="K35" s="7" t="s">
        <v>2402</v>
      </c>
      <c r="L35" s="11" t="str">
        <f>HYPERLINK("http://slimages.macys.com/is/image/MCY/13285480 ")</f>
        <v xml:space="preserve">http://slimages.macys.com/is/image/MCY/13285480 </v>
      </c>
    </row>
    <row r="36" spans="1:12" ht="39.950000000000003" customHeight="1" x14ac:dyDescent="0.25">
      <c r="A36" s="6" t="s">
        <v>1528</v>
      </c>
      <c r="B36" s="7" t="s">
        <v>1529</v>
      </c>
      <c r="C36" s="8">
        <v>1</v>
      </c>
      <c r="D36" s="9">
        <v>29.99</v>
      </c>
      <c r="E36" s="8" t="s">
        <v>1530</v>
      </c>
      <c r="F36" s="7" t="s">
        <v>2386</v>
      </c>
      <c r="G36" s="10" t="s">
        <v>2469</v>
      </c>
      <c r="H36" s="7" t="s">
        <v>2535</v>
      </c>
      <c r="I36" s="7" t="s">
        <v>2561</v>
      </c>
      <c r="J36" s="7" t="s">
        <v>2363</v>
      </c>
      <c r="K36" s="7" t="s">
        <v>2385</v>
      </c>
      <c r="L36" s="11" t="str">
        <f>HYPERLINK("http://slimages.macys.com/is/image/MCY/8589764 ")</f>
        <v xml:space="preserve">http://slimages.macys.com/is/image/MCY/8589764 </v>
      </c>
    </row>
    <row r="37" spans="1:12" ht="39.950000000000003" customHeight="1" x14ac:dyDescent="0.25">
      <c r="A37" s="6" t="s">
        <v>1531</v>
      </c>
      <c r="B37" s="7" t="s">
        <v>1532</v>
      </c>
      <c r="C37" s="8">
        <v>1</v>
      </c>
      <c r="D37" s="9">
        <v>29.99</v>
      </c>
      <c r="E37" s="8" t="s">
        <v>1533</v>
      </c>
      <c r="F37" s="7" t="s">
        <v>2368</v>
      </c>
      <c r="G37" s="10"/>
      <c r="H37" s="7" t="s">
        <v>2391</v>
      </c>
      <c r="I37" s="7" t="s">
        <v>3067</v>
      </c>
      <c r="J37" s="7" t="s">
        <v>2363</v>
      </c>
      <c r="K37" s="7" t="s">
        <v>2371</v>
      </c>
      <c r="L37" s="11" t="str">
        <f>HYPERLINK("http://slimages.macys.com/is/image/MCY/11685847 ")</f>
        <v xml:space="preserve">http://slimages.macys.com/is/image/MCY/11685847 </v>
      </c>
    </row>
    <row r="38" spans="1:12" ht="39.950000000000003" customHeight="1" x14ac:dyDescent="0.25">
      <c r="A38" s="6" t="s">
        <v>1534</v>
      </c>
      <c r="B38" s="7" t="s">
        <v>1535</v>
      </c>
      <c r="C38" s="8">
        <v>1</v>
      </c>
      <c r="D38" s="9">
        <v>19.989999999999998</v>
      </c>
      <c r="E38" s="8">
        <v>42552</v>
      </c>
      <c r="F38" s="7" t="s">
        <v>2355</v>
      </c>
      <c r="G38" s="10"/>
      <c r="H38" s="7" t="s">
        <v>2391</v>
      </c>
      <c r="I38" s="7" t="s">
        <v>2456</v>
      </c>
      <c r="J38" s="7" t="s">
        <v>2363</v>
      </c>
      <c r="K38" s="7" t="s">
        <v>2385</v>
      </c>
      <c r="L38" s="11" t="str">
        <f>HYPERLINK("http://slimages.macys.com/is/image/MCY/10009174 ")</f>
        <v xml:space="preserve">http://slimages.macys.com/is/image/MCY/10009174 </v>
      </c>
    </row>
    <row r="39" spans="1:12" ht="39.950000000000003" customHeight="1" x14ac:dyDescent="0.25">
      <c r="A39" s="6" t="s">
        <v>1536</v>
      </c>
      <c r="B39" s="7" t="s">
        <v>1537</v>
      </c>
      <c r="C39" s="8">
        <v>2</v>
      </c>
      <c r="D39" s="9">
        <v>37.979999999999997</v>
      </c>
      <c r="E39" s="8" t="s">
        <v>1538</v>
      </c>
      <c r="F39" s="7"/>
      <c r="G39" s="10" t="s">
        <v>2441</v>
      </c>
      <c r="H39" s="7" t="s">
        <v>2532</v>
      </c>
      <c r="I39" s="7" t="s">
        <v>2528</v>
      </c>
      <c r="J39" s="7" t="s">
        <v>2363</v>
      </c>
      <c r="K39" s="7" t="s">
        <v>2421</v>
      </c>
      <c r="L39" s="11" t="str">
        <f>HYPERLINK("http://slimages.macys.com/is/image/MCY/15883606 ")</f>
        <v xml:space="preserve">http://slimages.macys.com/is/image/MCY/15883606 </v>
      </c>
    </row>
    <row r="40" spans="1:12" ht="39.950000000000003" customHeight="1" x14ac:dyDescent="0.25">
      <c r="A40" s="6" t="s">
        <v>1539</v>
      </c>
      <c r="B40" s="7" t="s">
        <v>1540</v>
      </c>
      <c r="C40" s="8">
        <v>1</v>
      </c>
      <c r="D40" s="9">
        <v>78.11</v>
      </c>
      <c r="E40" s="8" t="s">
        <v>1541</v>
      </c>
      <c r="F40" s="7"/>
      <c r="G40" s="10"/>
      <c r="H40" s="7" t="s">
        <v>2391</v>
      </c>
      <c r="I40" s="7" t="s">
        <v>2528</v>
      </c>
      <c r="J40" s="7" t="s">
        <v>2363</v>
      </c>
      <c r="K40" s="7"/>
      <c r="L40" s="11" t="str">
        <f>HYPERLINK("http://slimages.macys.com/is/image/MCY/8757507 ")</f>
        <v xml:space="preserve">http://slimages.macys.com/is/image/MCY/8757507 </v>
      </c>
    </row>
    <row r="41" spans="1:12" ht="39.950000000000003" customHeight="1" x14ac:dyDescent="0.25">
      <c r="A41" s="6" t="s">
        <v>1542</v>
      </c>
      <c r="B41" s="7" t="s">
        <v>1543</v>
      </c>
      <c r="C41" s="8">
        <v>1</v>
      </c>
      <c r="D41" s="9">
        <v>14.99</v>
      </c>
      <c r="E41" s="8" t="s">
        <v>1544</v>
      </c>
      <c r="F41" s="7" t="s">
        <v>2495</v>
      </c>
      <c r="G41" s="10"/>
      <c r="H41" s="7" t="s">
        <v>2548</v>
      </c>
      <c r="I41" s="7" t="s">
        <v>2560</v>
      </c>
      <c r="J41" s="7" t="s">
        <v>2363</v>
      </c>
      <c r="K41" s="7" t="s">
        <v>2385</v>
      </c>
      <c r="L41" s="11" t="str">
        <f>HYPERLINK("http://slimages.macys.com/is/image/MCY/14718151 ")</f>
        <v xml:space="preserve">http://slimages.macys.com/is/image/MCY/14718151 </v>
      </c>
    </row>
    <row r="42" spans="1:12" ht="39.950000000000003" customHeight="1" x14ac:dyDescent="0.25">
      <c r="A42" s="6" t="s">
        <v>2774</v>
      </c>
      <c r="B42" s="7" t="s">
        <v>2775</v>
      </c>
      <c r="C42" s="8">
        <v>1</v>
      </c>
      <c r="D42" s="9">
        <v>15.99</v>
      </c>
      <c r="E42" s="8" t="s">
        <v>2776</v>
      </c>
      <c r="F42" s="7" t="s">
        <v>2355</v>
      </c>
      <c r="G42" s="10" t="s">
        <v>2469</v>
      </c>
      <c r="H42" s="7" t="s">
        <v>2387</v>
      </c>
      <c r="I42" s="7" t="s">
        <v>2777</v>
      </c>
      <c r="J42" s="7" t="s">
        <v>2363</v>
      </c>
      <c r="K42" s="7" t="s">
        <v>2778</v>
      </c>
      <c r="L42" s="11" t="str">
        <f>HYPERLINK("http://slimages.macys.com/is/image/MCY/13057430 ")</f>
        <v xml:space="preserve">http://slimages.macys.com/is/image/MCY/13057430 </v>
      </c>
    </row>
    <row r="43" spans="1:12" ht="39.950000000000003" customHeight="1" x14ac:dyDescent="0.25">
      <c r="A43" s="6" t="s">
        <v>1545</v>
      </c>
      <c r="B43" s="7" t="s">
        <v>1546</v>
      </c>
      <c r="C43" s="8">
        <v>2</v>
      </c>
      <c r="D43" s="9">
        <v>41.98</v>
      </c>
      <c r="E43" s="8" t="s">
        <v>1547</v>
      </c>
      <c r="F43" s="7" t="s">
        <v>2368</v>
      </c>
      <c r="G43" s="10"/>
      <c r="H43" s="7" t="s">
        <v>2369</v>
      </c>
      <c r="I43" s="7" t="s">
        <v>2748</v>
      </c>
      <c r="J43" s="7" t="s">
        <v>2363</v>
      </c>
      <c r="K43" s="7" t="s">
        <v>2654</v>
      </c>
      <c r="L43" s="11" t="str">
        <f>HYPERLINK("http://slimages.macys.com/is/image/MCY/13743089 ")</f>
        <v xml:space="preserve">http://slimages.macys.com/is/image/MCY/13743089 </v>
      </c>
    </row>
    <row r="44" spans="1:12" ht="39.950000000000003" customHeight="1" x14ac:dyDescent="0.25">
      <c r="A44" s="6" t="s">
        <v>1548</v>
      </c>
      <c r="B44" s="7" t="s">
        <v>1549</v>
      </c>
      <c r="C44" s="8">
        <v>1</v>
      </c>
      <c r="D44" s="9">
        <v>14.99</v>
      </c>
      <c r="E44" s="8" t="s">
        <v>1550</v>
      </c>
      <c r="F44" s="7" t="s">
        <v>2417</v>
      </c>
      <c r="G44" s="10" t="s">
        <v>2610</v>
      </c>
      <c r="H44" s="7" t="s">
        <v>2391</v>
      </c>
      <c r="I44" s="7" t="s">
        <v>2418</v>
      </c>
      <c r="J44" s="7"/>
      <c r="K44" s="7"/>
      <c r="L44" s="11" t="str">
        <f>HYPERLINK("http://slimages.macys.com/is/image/MCY/17620635 ")</f>
        <v xml:space="preserve">http://slimages.macys.com/is/image/MCY/17620635 </v>
      </c>
    </row>
    <row r="45" spans="1:12" ht="39.950000000000003" customHeight="1" x14ac:dyDescent="0.25">
      <c r="A45" s="6" t="s">
        <v>1551</v>
      </c>
      <c r="B45" s="7" t="s">
        <v>1552</v>
      </c>
      <c r="C45" s="8">
        <v>1</v>
      </c>
      <c r="D45" s="9">
        <v>14.99</v>
      </c>
      <c r="E45" s="8">
        <v>1009933200</v>
      </c>
      <c r="F45" s="7" t="s">
        <v>1439</v>
      </c>
      <c r="G45" s="10" t="s">
        <v>2441</v>
      </c>
      <c r="H45" s="7" t="s">
        <v>2442</v>
      </c>
      <c r="I45" s="7" t="s">
        <v>2411</v>
      </c>
      <c r="J45" s="7"/>
      <c r="K45" s="7"/>
      <c r="L45" s="11" t="str">
        <f>HYPERLINK("http://slimages.macys.com/is/image/MCY/17745443 ")</f>
        <v xml:space="preserve">http://slimages.macys.com/is/image/MCY/17745443 </v>
      </c>
    </row>
    <row r="46" spans="1:12" ht="39.950000000000003" customHeight="1" x14ac:dyDescent="0.25">
      <c r="A46" s="6" t="s">
        <v>1553</v>
      </c>
      <c r="B46" s="7" t="s">
        <v>1554</v>
      </c>
      <c r="C46" s="8">
        <v>1</v>
      </c>
      <c r="D46" s="9">
        <v>7.99</v>
      </c>
      <c r="E46" s="8" t="s">
        <v>1555</v>
      </c>
      <c r="F46" s="7" t="s">
        <v>2567</v>
      </c>
      <c r="G46" s="10" t="s">
        <v>2441</v>
      </c>
      <c r="H46" s="7" t="s">
        <v>2442</v>
      </c>
      <c r="I46" s="7" t="s">
        <v>2614</v>
      </c>
      <c r="J46" s="7" t="s">
        <v>2363</v>
      </c>
      <c r="K46" s="7" t="s">
        <v>2421</v>
      </c>
      <c r="L46" s="11" t="str">
        <f>HYPERLINK("http://slimages.macys.com/is/image/MCY/12723264 ")</f>
        <v xml:space="preserve">http://slimages.macys.com/is/image/MCY/12723264 </v>
      </c>
    </row>
    <row r="47" spans="1:12" ht="39.950000000000003" customHeight="1" x14ac:dyDescent="0.25">
      <c r="A47" s="6" t="s">
        <v>1556</v>
      </c>
      <c r="B47" s="7" t="s">
        <v>1557</v>
      </c>
      <c r="C47" s="8">
        <v>2</v>
      </c>
      <c r="D47" s="9">
        <v>15.98</v>
      </c>
      <c r="E47" s="8" t="s">
        <v>1558</v>
      </c>
      <c r="F47" s="7" t="s">
        <v>2368</v>
      </c>
      <c r="G47" s="10" t="s">
        <v>2441</v>
      </c>
      <c r="H47" s="7" t="s">
        <v>2420</v>
      </c>
      <c r="I47" s="7" t="s">
        <v>2433</v>
      </c>
      <c r="J47" s="7"/>
      <c r="K47" s="7"/>
      <c r="L47" s="11" t="str">
        <f>HYPERLINK("http://slimages.macys.com/is/image/MCY/14662026 ")</f>
        <v xml:space="preserve">http://slimages.macys.com/is/image/MCY/14662026 </v>
      </c>
    </row>
    <row r="48" spans="1:12" ht="39.950000000000003" customHeight="1" x14ac:dyDescent="0.25">
      <c r="A48" s="6" t="s">
        <v>1559</v>
      </c>
      <c r="B48" s="7" t="s">
        <v>1560</v>
      </c>
      <c r="C48" s="8">
        <v>1</v>
      </c>
      <c r="D48" s="9">
        <v>11.99</v>
      </c>
      <c r="E48" s="8">
        <v>1005082900</v>
      </c>
      <c r="F48" s="7" t="s">
        <v>2355</v>
      </c>
      <c r="G48" s="10" t="s">
        <v>2616</v>
      </c>
      <c r="H48" s="7" t="s">
        <v>2442</v>
      </c>
      <c r="I48" s="7" t="s">
        <v>2411</v>
      </c>
      <c r="J48" s="7" t="s">
        <v>2363</v>
      </c>
      <c r="K48" s="7" t="s">
        <v>2640</v>
      </c>
      <c r="L48" s="11" t="str">
        <f>HYPERLINK("http://slimages.macys.com/is/image/MCY/11709707 ")</f>
        <v xml:space="preserve">http://slimages.macys.com/is/image/MCY/11709707 </v>
      </c>
    </row>
    <row r="49" spans="1:12" ht="39.950000000000003" customHeight="1" x14ac:dyDescent="0.25">
      <c r="A49" s="6" t="s">
        <v>2845</v>
      </c>
      <c r="B49" s="7" t="s">
        <v>2846</v>
      </c>
      <c r="C49" s="8">
        <v>4</v>
      </c>
      <c r="D49" s="9">
        <v>51.96</v>
      </c>
      <c r="E49" s="8" t="s">
        <v>2847</v>
      </c>
      <c r="F49" s="7" t="s">
        <v>2355</v>
      </c>
      <c r="G49" s="10" t="s">
        <v>2616</v>
      </c>
      <c r="H49" s="7" t="s">
        <v>2442</v>
      </c>
      <c r="I49" s="7" t="s">
        <v>2443</v>
      </c>
      <c r="J49" s="7" t="s">
        <v>2363</v>
      </c>
      <c r="K49" s="7" t="s">
        <v>2421</v>
      </c>
      <c r="L49" s="11" t="str">
        <f>HYPERLINK("http://slimages.macys.com/is/image/MCY/12737814 ")</f>
        <v xml:space="preserve">http://slimages.macys.com/is/image/MCY/12737814 </v>
      </c>
    </row>
    <row r="50" spans="1:12" ht="39.950000000000003" customHeight="1" x14ac:dyDescent="0.25">
      <c r="A50" s="6" t="s">
        <v>1561</v>
      </c>
      <c r="B50" s="7" t="s">
        <v>1562</v>
      </c>
      <c r="C50" s="8">
        <v>1</v>
      </c>
      <c r="D50" s="9">
        <v>1.99</v>
      </c>
      <c r="E50" s="8" t="s">
        <v>1563</v>
      </c>
      <c r="F50" s="7" t="s">
        <v>2355</v>
      </c>
      <c r="G50" s="10" t="s">
        <v>2463</v>
      </c>
      <c r="H50" s="7" t="s">
        <v>2420</v>
      </c>
      <c r="I50" s="7" t="s">
        <v>3082</v>
      </c>
      <c r="J50" s="7"/>
      <c r="K50" s="7"/>
      <c r="L50" s="11" t="str">
        <f>HYPERLINK("http://slimages.macys.com/is/image/MCY/18145997 ")</f>
        <v xml:space="preserve">http://slimages.macys.com/is/image/MCY/18145997 </v>
      </c>
    </row>
    <row r="51" spans="1:12" ht="39.950000000000003" customHeight="1" x14ac:dyDescent="0.25">
      <c r="A51" s="6" t="s">
        <v>1564</v>
      </c>
      <c r="B51" s="7" t="s">
        <v>1565</v>
      </c>
      <c r="C51" s="8">
        <v>1</v>
      </c>
      <c r="D51" s="9">
        <v>199.99</v>
      </c>
      <c r="E51" s="8" t="s">
        <v>1566</v>
      </c>
      <c r="F51" s="7"/>
      <c r="G51" s="10"/>
      <c r="H51" s="7" t="s">
        <v>2383</v>
      </c>
      <c r="I51" s="7" t="s">
        <v>2474</v>
      </c>
      <c r="J51" s="7"/>
      <c r="K51" s="7"/>
      <c r="L51" s="11"/>
    </row>
    <row r="52" spans="1:12" ht="39.950000000000003" customHeight="1" x14ac:dyDescent="0.25">
      <c r="A52" s="6" t="s">
        <v>1567</v>
      </c>
      <c r="B52" s="7" t="s">
        <v>1568</v>
      </c>
      <c r="C52" s="8">
        <v>1</v>
      </c>
      <c r="D52" s="9">
        <v>179.99</v>
      </c>
      <c r="E52" s="8" t="s">
        <v>1569</v>
      </c>
      <c r="F52" s="7" t="s">
        <v>2368</v>
      </c>
      <c r="G52" s="10"/>
      <c r="H52" s="7" t="s">
        <v>2375</v>
      </c>
      <c r="I52" s="7" t="s">
        <v>2376</v>
      </c>
      <c r="J52" s="7"/>
      <c r="K52" s="7"/>
      <c r="L52" s="11"/>
    </row>
    <row r="53" spans="1:12" ht="39.950000000000003" customHeight="1" x14ac:dyDescent="0.25">
      <c r="A53" s="6" t="s">
        <v>2466</v>
      </c>
      <c r="B53" s="7" t="s">
        <v>2467</v>
      </c>
      <c r="C53" s="8">
        <v>10</v>
      </c>
      <c r="D53" s="9">
        <v>400</v>
      </c>
      <c r="E53" s="8"/>
      <c r="F53" s="7" t="s">
        <v>2468</v>
      </c>
      <c r="G53" s="10" t="s">
        <v>2469</v>
      </c>
      <c r="H53" s="7" t="s">
        <v>2470</v>
      </c>
      <c r="I53" s="7" t="s">
        <v>2471</v>
      </c>
      <c r="J53" s="7"/>
      <c r="K53" s="7"/>
      <c r="L53" s="11"/>
    </row>
    <row r="54" spans="1:12" ht="39.950000000000003" customHeight="1" x14ac:dyDescent="0.25">
      <c r="A54" s="6" t="s">
        <v>1570</v>
      </c>
      <c r="B54" s="7" t="s">
        <v>1571</v>
      </c>
      <c r="C54" s="8">
        <v>1</v>
      </c>
      <c r="D54" s="9">
        <v>49.99</v>
      </c>
      <c r="E54" s="8">
        <v>2000001184</v>
      </c>
      <c r="F54" s="7" t="s">
        <v>2368</v>
      </c>
      <c r="G54" s="10"/>
      <c r="H54" s="7" t="s">
        <v>2369</v>
      </c>
      <c r="I54" s="7" t="s">
        <v>2370</v>
      </c>
      <c r="J54" s="7"/>
      <c r="K54" s="7"/>
      <c r="L54" s="11"/>
    </row>
    <row r="55" spans="1:12" ht="39.950000000000003" customHeight="1" x14ac:dyDescent="0.25">
      <c r="A55" s="6" t="s">
        <v>1572</v>
      </c>
      <c r="B55" s="7" t="s">
        <v>1573</v>
      </c>
      <c r="C55" s="8">
        <v>1</v>
      </c>
      <c r="D55" s="9">
        <v>5.99</v>
      </c>
      <c r="E55" s="8" t="s">
        <v>1574</v>
      </c>
      <c r="F55" s="7" t="s">
        <v>1575</v>
      </c>
      <c r="G55" s="10" t="s">
        <v>2616</v>
      </c>
      <c r="H55" s="7" t="s">
        <v>2420</v>
      </c>
      <c r="I55" s="7" t="s">
        <v>1576</v>
      </c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56"/>
  <sheetViews>
    <sheetView topLeftCell="A40" workbookViewId="0">
      <selection activeCell="B44" sqref="B44"/>
    </sheetView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2350</v>
      </c>
      <c r="I1" s="5" t="s">
        <v>2351</v>
      </c>
      <c r="J1" s="5" t="s">
        <v>2352</v>
      </c>
      <c r="K1" s="5" t="s">
        <v>2353</v>
      </c>
      <c r="L1" s="5" t="s">
        <v>2354</v>
      </c>
    </row>
    <row r="2" spans="1:12" ht="39.950000000000003" customHeight="1" x14ac:dyDescent="0.25">
      <c r="A2" s="6" t="s">
        <v>1577</v>
      </c>
      <c r="B2" s="7" t="s">
        <v>1578</v>
      </c>
      <c r="C2" s="8">
        <v>1</v>
      </c>
      <c r="D2" s="9">
        <v>249</v>
      </c>
      <c r="E2" s="8" t="s">
        <v>1579</v>
      </c>
      <c r="F2" s="7" t="s">
        <v>2362</v>
      </c>
      <c r="G2" s="10"/>
      <c r="H2" s="7" t="s">
        <v>2357</v>
      </c>
      <c r="I2" s="7" t="s">
        <v>2358</v>
      </c>
      <c r="J2" s="7" t="s">
        <v>2363</v>
      </c>
      <c r="K2" s="7"/>
      <c r="L2" s="11" t="str">
        <f>HYPERLINK("http://slimages.macys.com/is/image/MCY/9619526 ")</f>
        <v xml:space="preserve">http://slimages.macys.com/is/image/MCY/9619526 </v>
      </c>
    </row>
    <row r="3" spans="1:12" ht="39.950000000000003" customHeight="1" x14ac:dyDescent="0.25">
      <c r="A3" s="6" t="s">
        <v>2817</v>
      </c>
      <c r="B3" s="7" t="s">
        <v>2818</v>
      </c>
      <c r="C3" s="8">
        <v>1</v>
      </c>
      <c r="D3" s="9">
        <v>239.99</v>
      </c>
      <c r="E3" s="8" t="s">
        <v>2819</v>
      </c>
      <c r="F3" s="7" t="s">
        <v>2355</v>
      </c>
      <c r="G3" s="10" t="s">
        <v>2356</v>
      </c>
      <c r="H3" s="7" t="s">
        <v>2545</v>
      </c>
      <c r="I3" s="7" t="s">
        <v>2499</v>
      </c>
      <c r="J3" s="7" t="s">
        <v>2452</v>
      </c>
      <c r="K3" s="7" t="s">
        <v>2651</v>
      </c>
      <c r="L3" s="11" t="str">
        <f>HYPERLINK("http://slimages.macys.com/is/image/MCY/3962568 ")</f>
        <v xml:space="preserve">http://slimages.macys.com/is/image/MCY/3962568 </v>
      </c>
    </row>
    <row r="4" spans="1:12" ht="39.950000000000003" customHeight="1" x14ac:dyDescent="0.25">
      <c r="A4" s="6" t="s">
        <v>1580</v>
      </c>
      <c r="B4" s="7" t="s">
        <v>1581</v>
      </c>
      <c r="C4" s="8">
        <v>1</v>
      </c>
      <c r="D4" s="9">
        <v>171.99</v>
      </c>
      <c r="E4" s="8" t="s">
        <v>1582</v>
      </c>
      <c r="F4" s="7" t="s">
        <v>2558</v>
      </c>
      <c r="G4" s="10"/>
      <c r="H4" s="7" t="s">
        <v>2387</v>
      </c>
      <c r="I4" s="7" t="s">
        <v>2425</v>
      </c>
      <c r="J4" s="7" t="s">
        <v>2363</v>
      </c>
      <c r="K4" s="7" t="s">
        <v>2405</v>
      </c>
      <c r="L4" s="11" t="str">
        <f>HYPERLINK("http://slimages.macys.com/is/image/MCY/16484227 ")</f>
        <v xml:space="preserve">http://slimages.macys.com/is/image/MCY/16484227 </v>
      </c>
    </row>
    <row r="5" spans="1:12" ht="39.950000000000003" customHeight="1" x14ac:dyDescent="0.25">
      <c r="A5" s="6" t="s">
        <v>1583</v>
      </c>
      <c r="B5" s="7" t="s">
        <v>1584</v>
      </c>
      <c r="C5" s="8">
        <v>1</v>
      </c>
      <c r="D5" s="9">
        <v>119.99</v>
      </c>
      <c r="E5" s="8" t="s">
        <v>1585</v>
      </c>
      <c r="F5" s="7" t="s">
        <v>2495</v>
      </c>
      <c r="G5" s="10"/>
      <c r="H5" s="7" t="s">
        <v>2432</v>
      </c>
      <c r="I5" s="7" t="s">
        <v>2453</v>
      </c>
      <c r="J5" s="7" t="s">
        <v>2363</v>
      </c>
      <c r="K5" s="7" t="s">
        <v>2389</v>
      </c>
      <c r="L5" s="11" t="str">
        <f>HYPERLINK("http://slimages.macys.com/is/image/MCY/12043987 ")</f>
        <v xml:space="preserve">http://slimages.macys.com/is/image/MCY/12043987 </v>
      </c>
    </row>
    <row r="6" spans="1:12" ht="39.950000000000003" customHeight="1" x14ac:dyDescent="0.25">
      <c r="A6" s="6" t="s">
        <v>1586</v>
      </c>
      <c r="B6" s="7" t="s">
        <v>1587</v>
      </c>
      <c r="C6" s="8">
        <v>1</v>
      </c>
      <c r="D6" s="9">
        <v>124.99</v>
      </c>
      <c r="E6" s="8" t="s">
        <v>1588</v>
      </c>
      <c r="F6" s="7" t="s">
        <v>2722</v>
      </c>
      <c r="G6" s="10" t="s">
        <v>2469</v>
      </c>
      <c r="H6" s="7" t="s">
        <v>2369</v>
      </c>
      <c r="I6" s="7" t="s">
        <v>1589</v>
      </c>
      <c r="J6" s="7" t="s">
        <v>2363</v>
      </c>
      <c r="K6" s="7" t="s">
        <v>2371</v>
      </c>
      <c r="L6" s="11" t="str">
        <f>HYPERLINK("http://slimages.macys.com/is/image/MCY/11504387 ")</f>
        <v xml:space="preserve">http://slimages.macys.com/is/image/MCY/11504387 </v>
      </c>
    </row>
    <row r="7" spans="1:12" ht="39.950000000000003" customHeight="1" x14ac:dyDescent="0.25">
      <c r="A7" s="6" t="s">
        <v>1590</v>
      </c>
      <c r="B7" s="7" t="s">
        <v>1591</v>
      </c>
      <c r="C7" s="8">
        <v>1</v>
      </c>
      <c r="D7" s="9">
        <v>119.99</v>
      </c>
      <c r="E7" s="8" t="s">
        <v>1592</v>
      </c>
      <c r="F7" s="7" t="s">
        <v>2436</v>
      </c>
      <c r="G7" s="10"/>
      <c r="H7" s="7" t="s">
        <v>2396</v>
      </c>
      <c r="I7" s="7" t="s">
        <v>2787</v>
      </c>
      <c r="J7" s="7" t="s">
        <v>2363</v>
      </c>
      <c r="K7" s="7"/>
      <c r="L7" s="11" t="str">
        <f>HYPERLINK("http://slimages.macys.com/is/image/MCY/8813910 ")</f>
        <v xml:space="preserve">http://slimages.macys.com/is/image/MCY/8813910 </v>
      </c>
    </row>
    <row r="8" spans="1:12" ht="39.950000000000003" customHeight="1" x14ac:dyDescent="0.25">
      <c r="A8" s="6" t="s">
        <v>1593</v>
      </c>
      <c r="B8" s="7" t="s">
        <v>1594</v>
      </c>
      <c r="C8" s="8">
        <v>1</v>
      </c>
      <c r="D8" s="9">
        <v>149.99</v>
      </c>
      <c r="E8" s="8" t="s">
        <v>1595</v>
      </c>
      <c r="F8" s="7" t="s">
        <v>2355</v>
      </c>
      <c r="G8" s="10"/>
      <c r="H8" s="7" t="s">
        <v>2396</v>
      </c>
      <c r="I8" s="7" t="s">
        <v>2397</v>
      </c>
      <c r="J8" s="7" t="s">
        <v>2363</v>
      </c>
      <c r="K8" s="7" t="s">
        <v>2491</v>
      </c>
      <c r="L8" s="11" t="str">
        <f>HYPERLINK("http://slimages.macys.com/is/image/MCY/15389610 ")</f>
        <v xml:space="preserve">http://slimages.macys.com/is/image/MCY/15389610 </v>
      </c>
    </row>
    <row r="9" spans="1:12" ht="39.950000000000003" customHeight="1" x14ac:dyDescent="0.25">
      <c r="A9" s="6" t="s">
        <v>1596</v>
      </c>
      <c r="B9" s="7" t="s">
        <v>1597</v>
      </c>
      <c r="C9" s="8">
        <v>1</v>
      </c>
      <c r="D9" s="9">
        <v>199.99</v>
      </c>
      <c r="E9" s="8" t="s">
        <v>1598</v>
      </c>
      <c r="F9" s="7" t="s">
        <v>2495</v>
      </c>
      <c r="G9" s="10"/>
      <c r="H9" s="7" t="s">
        <v>2357</v>
      </c>
      <c r="I9" s="7" t="s">
        <v>1599</v>
      </c>
      <c r="J9" s="7" t="s">
        <v>2363</v>
      </c>
      <c r="K9" s="7" t="s">
        <v>2497</v>
      </c>
      <c r="L9" s="11" t="str">
        <f>HYPERLINK("http://slimages.macys.com/is/image/MCY/11640048 ")</f>
        <v xml:space="preserve">http://slimages.macys.com/is/image/MCY/11640048 </v>
      </c>
    </row>
    <row r="10" spans="1:12" ht="39.950000000000003" customHeight="1" x14ac:dyDescent="0.25">
      <c r="A10" s="6" t="s">
        <v>1600</v>
      </c>
      <c r="B10" s="7" t="s">
        <v>1601</v>
      </c>
      <c r="C10" s="8">
        <v>1</v>
      </c>
      <c r="D10" s="9">
        <v>149.99</v>
      </c>
      <c r="E10" s="8" t="s">
        <v>1602</v>
      </c>
      <c r="F10" s="7" t="s">
        <v>2424</v>
      </c>
      <c r="G10" s="10"/>
      <c r="H10" s="7" t="s">
        <v>2375</v>
      </c>
      <c r="I10" s="7" t="s">
        <v>2376</v>
      </c>
      <c r="J10" s="7"/>
      <c r="K10" s="7"/>
      <c r="L10" s="11" t="str">
        <f>HYPERLINK("http://slimages.macys.com/is/image/MCY/18400106 ")</f>
        <v xml:space="preserve">http://slimages.macys.com/is/image/MCY/18400106 </v>
      </c>
    </row>
    <row r="11" spans="1:12" ht="39.950000000000003" customHeight="1" x14ac:dyDescent="0.25">
      <c r="A11" s="6" t="s">
        <v>1603</v>
      </c>
      <c r="B11" s="7" t="s">
        <v>1604</v>
      </c>
      <c r="C11" s="8">
        <v>1</v>
      </c>
      <c r="D11" s="9">
        <v>99.99</v>
      </c>
      <c r="E11" s="8" t="s">
        <v>1605</v>
      </c>
      <c r="F11" s="7" t="s">
        <v>2512</v>
      </c>
      <c r="G11" s="10"/>
      <c r="H11" s="7" t="s">
        <v>2432</v>
      </c>
      <c r="I11" s="7" t="s">
        <v>2433</v>
      </c>
      <c r="J11" s="7" t="s">
        <v>2363</v>
      </c>
      <c r="K11" s="7" t="s">
        <v>2421</v>
      </c>
      <c r="L11" s="11" t="str">
        <f>HYPERLINK("http://slimages.macys.com/is/image/MCY/14376600 ")</f>
        <v xml:space="preserve">http://slimages.macys.com/is/image/MCY/14376600 </v>
      </c>
    </row>
    <row r="12" spans="1:12" ht="39.950000000000003" customHeight="1" x14ac:dyDescent="0.25">
      <c r="A12" s="6" t="s">
        <v>1606</v>
      </c>
      <c r="B12" s="7" t="s">
        <v>1607</v>
      </c>
      <c r="C12" s="8">
        <v>1</v>
      </c>
      <c r="D12" s="9">
        <v>140.99</v>
      </c>
      <c r="E12" s="8" t="s">
        <v>1608</v>
      </c>
      <c r="F12" s="7" t="s">
        <v>2495</v>
      </c>
      <c r="G12" s="10"/>
      <c r="H12" s="7" t="s">
        <v>2391</v>
      </c>
      <c r="I12" s="7" t="s">
        <v>2409</v>
      </c>
      <c r="J12" s="7" t="s">
        <v>2363</v>
      </c>
      <c r="K12" s="7" t="s">
        <v>1609</v>
      </c>
      <c r="L12" s="11" t="str">
        <f>HYPERLINK("http://slimages.macys.com/is/image/MCY/12493591 ")</f>
        <v xml:space="preserve">http://slimages.macys.com/is/image/MCY/12493591 </v>
      </c>
    </row>
    <row r="13" spans="1:12" ht="39.950000000000003" customHeight="1" x14ac:dyDescent="0.25">
      <c r="A13" s="6" t="s">
        <v>1610</v>
      </c>
      <c r="B13" s="7" t="s">
        <v>1611</v>
      </c>
      <c r="C13" s="8">
        <v>1</v>
      </c>
      <c r="D13" s="9">
        <v>99.99</v>
      </c>
      <c r="E13" s="8">
        <v>82275</v>
      </c>
      <c r="F13" s="7" t="s">
        <v>2505</v>
      </c>
      <c r="G13" s="10"/>
      <c r="H13" s="7" t="s">
        <v>2369</v>
      </c>
      <c r="I13" s="7" t="s">
        <v>3015</v>
      </c>
      <c r="J13" s="7"/>
      <c r="K13" s="7"/>
      <c r="L13" s="11" t="str">
        <f>HYPERLINK("http://slimages.macys.com/is/image/MCY/17866988 ")</f>
        <v xml:space="preserve">http://slimages.macys.com/is/image/MCY/17866988 </v>
      </c>
    </row>
    <row r="14" spans="1:12" ht="39.950000000000003" customHeight="1" x14ac:dyDescent="0.25">
      <c r="A14" s="6" t="s">
        <v>2586</v>
      </c>
      <c r="B14" s="7" t="s">
        <v>2587</v>
      </c>
      <c r="C14" s="8">
        <v>1</v>
      </c>
      <c r="D14" s="9">
        <v>99.99</v>
      </c>
      <c r="E14" s="8" t="s">
        <v>2588</v>
      </c>
      <c r="F14" s="7" t="s">
        <v>2505</v>
      </c>
      <c r="G14" s="10"/>
      <c r="H14" s="7" t="s">
        <v>2396</v>
      </c>
      <c r="I14" s="7" t="s">
        <v>2397</v>
      </c>
      <c r="J14" s="7" t="s">
        <v>2363</v>
      </c>
      <c r="K14" s="7" t="s">
        <v>2398</v>
      </c>
      <c r="L14" s="11" t="str">
        <f>HYPERLINK("http://slimages.macys.com/is/image/MCY/11607139 ")</f>
        <v xml:space="preserve">http://slimages.macys.com/is/image/MCY/11607139 </v>
      </c>
    </row>
    <row r="15" spans="1:12" ht="39.950000000000003" customHeight="1" x14ac:dyDescent="0.25">
      <c r="A15" s="6" t="s">
        <v>1612</v>
      </c>
      <c r="B15" s="7" t="s">
        <v>1613</v>
      </c>
      <c r="C15" s="8">
        <v>1</v>
      </c>
      <c r="D15" s="9">
        <v>77.989999999999995</v>
      </c>
      <c r="E15" s="8">
        <v>22424</v>
      </c>
      <c r="F15" s="7" t="s">
        <v>2355</v>
      </c>
      <c r="G15" s="10" t="s">
        <v>2646</v>
      </c>
      <c r="H15" s="7" t="s">
        <v>2407</v>
      </c>
      <c r="I15" s="7" t="s">
        <v>2462</v>
      </c>
      <c r="J15" s="7"/>
      <c r="K15" s="7"/>
      <c r="L15" s="11" t="str">
        <f>HYPERLINK("http://slimages.macys.com/is/image/MCY/17673755 ")</f>
        <v xml:space="preserve">http://slimages.macys.com/is/image/MCY/17673755 </v>
      </c>
    </row>
    <row r="16" spans="1:12" ht="39.950000000000003" customHeight="1" x14ac:dyDescent="0.25">
      <c r="A16" s="6" t="s">
        <v>1614</v>
      </c>
      <c r="B16" s="7" t="s">
        <v>1615</v>
      </c>
      <c r="C16" s="8">
        <v>1</v>
      </c>
      <c r="D16" s="9">
        <v>68.989999999999995</v>
      </c>
      <c r="E16" s="8">
        <v>80703</v>
      </c>
      <c r="F16" s="7" t="s">
        <v>2355</v>
      </c>
      <c r="G16" s="10"/>
      <c r="H16" s="7" t="s">
        <v>2407</v>
      </c>
      <c r="I16" s="7" t="s">
        <v>2542</v>
      </c>
      <c r="J16" s="7" t="s">
        <v>2363</v>
      </c>
      <c r="K16" s="7" t="s">
        <v>1616</v>
      </c>
      <c r="L16" s="11" t="str">
        <f>HYPERLINK("http://slimages.macys.com/is/image/MCY/13586102 ")</f>
        <v xml:space="preserve">http://slimages.macys.com/is/image/MCY/13586102 </v>
      </c>
    </row>
    <row r="17" spans="1:12" ht="39.950000000000003" customHeight="1" x14ac:dyDescent="0.25">
      <c r="A17" s="6" t="s">
        <v>1617</v>
      </c>
      <c r="B17" s="7" t="s">
        <v>1618</v>
      </c>
      <c r="C17" s="8">
        <v>1</v>
      </c>
      <c r="D17" s="9">
        <v>129.99</v>
      </c>
      <c r="E17" s="8" t="s">
        <v>1619</v>
      </c>
      <c r="F17" s="7" t="s">
        <v>2514</v>
      </c>
      <c r="G17" s="10"/>
      <c r="H17" s="7" t="s">
        <v>2357</v>
      </c>
      <c r="I17" s="7" t="s">
        <v>2820</v>
      </c>
      <c r="J17" s="7" t="s">
        <v>2363</v>
      </c>
      <c r="K17" s="7" t="s">
        <v>2640</v>
      </c>
      <c r="L17" s="11" t="str">
        <f>HYPERLINK("http://slimages.macys.com/is/image/MCY/3573212 ")</f>
        <v xml:space="preserve">http://slimages.macys.com/is/image/MCY/3573212 </v>
      </c>
    </row>
    <row r="18" spans="1:12" ht="39.950000000000003" customHeight="1" x14ac:dyDescent="0.25">
      <c r="A18" s="6" t="s">
        <v>1620</v>
      </c>
      <c r="B18" s="7" t="s">
        <v>1621</v>
      </c>
      <c r="C18" s="8">
        <v>1</v>
      </c>
      <c r="D18" s="9">
        <v>49.99</v>
      </c>
      <c r="E18" s="8" t="s">
        <v>1622</v>
      </c>
      <c r="F18" s="7" t="s">
        <v>2368</v>
      </c>
      <c r="G18" s="10"/>
      <c r="H18" s="7" t="s">
        <v>2369</v>
      </c>
      <c r="I18" s="7" t="s">
        <v>2370</v>
      </c>
      <c r="J18" s="7" t="s">
        <v>2363</v>
      </c>
      <c r="K18" s="7" t="s">
        <v>2385</v>
      </c>
      <c r="L18" s="11" t="str">
        <f>HYPERLINK("http://slimages.macys.com/is/image/MCY/8347198 ")</f>
        <v xml:space="preserve">http://slimages.macys.com/is/image/MCY/8347198 </v>
      </c>
    </row>
    <row r="19" spans="1:12" ht="39.950000000000003" customHeight="1" x14ac:dyDescent="0.25">
      <c r="A19" s="6" t="s">
        <v>1623</v>
      </c>
      <c r="B19" s="7" t="s">
        <v>1624</v>
      </c>
      <c r="C19" s="8">
        <v>1</v>
      </c>
      <c r="D19" s="9">
        <v>79.989999999999995</v>
      </c>
      <c r="E19" s="8">
        <v>10007224100</v>
      </c>
      <c r="F19" s="7" t="s">
        <v>2505</v>
      </c>
      <c r="G19" s="10" t="s">
        <v>2610</v>
      </c>
      <c r="H19" s="7" t="s">
        <v>2357</v>
      </c>
      <c r="I19" s="7" t="s">
        <v>2593</v>
      </c>
      <c r="J19" s="7" t="s">
        <v>2363</v>
      </c>
      <c r="K19" s="7" t="s">
        <v>2405</v>
      </c>
      <c r="L19" s="11" t="str">
        <f>HYPERLINK("http://slimages.macys.com/is/image/MCY/12898885 ")</f>
        <v xml:space="preserve">http://slimages.macys.com/is/image/MCY/12898885 </v>
      </c>
    </row>
    <row r="20" spans="1:12" ht="39.950000000000003" customHeight="1" x14ac:dyDescent="0.25">
      <c r="A20" s="6" t="s">
        <v>1625</v>
      </c>
      <c r="B20" s="7" t="s">
        <v>1626</v>
      </c>
      <c r="C20" s="8">
        <v>1</v>
      </c>
      <c r="D20" s="9">
        <v>49.99</v>
      </c>
      <c r="E20" s="8" t="s">
        <v>1627</v>
      </c>
      <c r="F20" s="7" t="s">
        <v>2355</v>
      </c>
      <c r="G20" s="10"/>
      <c r="H20" s="7" t="s">
        <v>2422</v>
      </c>
      <c r="I20" s="7" t="s">
        <v>2526</v>
      </c>
      <c r="J20" s="7" t="s">
        <v>2363</v>
      </c>
      <c r="K20" s="7" t="s">
        <v>2421</v>
      </c>
      <c r="L20" s="11" t="str">
        <f>HYPERLINK("http://slimages.macys.com/is/image/MCY/15396687 ")</f>
        <v xml:space="preserve">http://slimages.macys.com/is/image/MCY/15396687 </v>
      </c>
    </row>
    <row r="21" spans="1:12" ht="39.950000000000003" customHeight="1" x14ac:dyDescent="0.25">
      <c r="A21" s="6" t="s">
        <v>1628</v>
      </c>
      <c r="B21" s="7" t="s">
        <v>1629</v>
      </c>
      <c r="C21" s="8">
        <v>1</v>
      </c>
      <c r="D21" s="9">
        <v>49.99</v>
      </c>
      <c r="E21" s="8" t="s">
        <v>1630</v>
      </c>
      <c r="F21" s="7"/>
      <c r="G21" s="10"/>
      <c r="H21" s="7" t="s">
        <v>2369</v>
      </c>
      <c r="I21" s="7" t="s">
        <v>2431</v>
      </c>
      <c r="J21" s="7"/>
      <c r="K21" s="7"/>
      <c r="L21" s="11" t="str">
        <f>HYPERLINK("http://slimages.macys.com/is/image/MCY/16826823 ")</f>
        <v xml:space="preserve">http://slimages.macys.com/is/image/MCY/16826823 </v>
      </c>
    </row>
    <row r="22" spans="1:12" ht="39.950000000000003" customHeight="1" x14ac:dyDescent="0.25">
      <c r="A22" s="6" t="s">
        <v>2745</v>
      </c>
      <c r="B22" s="7" t="s">
        <v>2746</v>
      </c>
      <c r="C22" s="8">
        <v>1</v>
      </c>
      <c r="D22" s="9">
        <v>49.99</v>
      </c>
      <c r="E22" s="8" t="s">
        <v>2747</v>
      </c>
      <c r="F22" s="7"/>
      <c r="G22" s="10"/>
      <c r="H22" s="7" t="s">
        <v>2369</v>
      </c>
      <c r="I22" s="7" t="s">
        <v>2431</v>
      </c>
      <c r="J22" s="7"/>
      <c r="K22" s="7"/>
      <c r="L22" s="11" t="str">
        <f>HYPERLINK("http://slimages.macys.com/is/image/MCY/16826823 ")</f>
        <v xml:space="preserve">http://slimages.macys.com/is/image/MCY/16826823 </v>
      </c>
    </row>
    <row r="23" spans="1:12" ht="39.950000000000003" customHeight="1" x14ac:dyDescent="0.25">
      <c r="A23" s="6" t="s">
        <v>1631</v>
      </c>
      <c r="B23" s="7" t="s">
        <v>1632</v>
      </c>
      <c r="C23" s="8">
        <v>1</v>
      </c>
      <c r="D23" s="9">
        <v>44.99</v>
      </c>
      <c r="E23" s="8" t="s">
        <v>1633</v>
      </c>
      <c r="F23" s="7" t="s">
        <v>2481</v>
      </c>
      <c r="G23" s="10"/>
      <c r="H23" s="7" t="s">
        <v>2391</v>
      </c>
      <c r="I23" s="7" t="s">
        <v>2409</v>
      </c>
      <c r="J23" s="7" t="s">
        <v>2363</v>
      </c>
      <c r="K23" s="7" t="s">
        <v>1634</v>
      </c>
      <c r="L23" s="11" t="str">
        <f>HYPERLINK("http://slimages.macys.com/is/image/MCY/9616218 ")</f>
        <v xml:space="preserve">http://slimages.macys.com/is/image/MCY/9616218 </v>
      </c>
    </row>
    <row r="24" spans="1:12" ht="39.950000000000003" customHeight="1" x14ac:dyDescent="0.25">
      <c r="A24" s="6" t="s">
        <v>1635</v>
      </c>
      <c r="B24" s="7" t="s">
        <v>1636</v>
      </c>
      <c r="C24" s="8">
        <v>1</v>
      </c>
      <c r="D24" s="9">
        <v>44.99</v>
      </c>
      <c r="E24" s="8" t="s">
        <v>1637</v>
      </c>
      <c r="F24" s="7" t="s">
        <v>2481</v>
      </c>
      <c r="G24" s="10"/>
      <c r="H24" s="7" t="s">
        <v>2391</v>
      </c>
      <c r="I24" s="7" t="s">
        <v>2409</v>
      </c>
      <c r="J24" s="7" t="s">
        <v>2363</v>
      </c>
      <c r="K24" s="7" t="s">
        <v>1634</v>
      </c>
      <c r="L24" s="11" t="str">
        <f>HYPERLINK("http://slimages.macys.com/is/image/MCY/9616352 ")</f>
        <v xml:space="preserve">http://slimages.macys.com/is/image/MCY/9616352 </v>
      </c>
    </row>
    <row r="25" spans="1:12" ht="39.950000000000003" customHeight="1" x14ac:dyDescent="0.25">
      <c r="A25" s="6" t="s">
        <v>1638</v>
      </c>
      <c r="B25" s="7" t="s">
        <v>1639</v>
      </c>
      <c r="C25" s="8">
        <v>1</v>
      </c>
      <c r="D25" s="9">
        <v>39.99</v>
      </c>
      <c r="E25" s="8" t="s">
        <v>1640</v>
      </c>
      <c r="F25" s="7" t="s">
        <v>2446</v>
      </c>
      <c r="G25" s="10"/>
      <c r="H25" s="7" t="s">
        <v>2532</v>
      </c>
      <c r="I25" s="7" t="s">
        <v>2409</v>
      </c>
      <c r="J25" s="7" t="s">
        <v>2363</v>
      </c>
      <c r="K25" s="7" t="s">
        <v>2531</v>
      </c>
      <c r="L25" s="11" t="str">
        <f>HYPERLINK("http://slimages.macys.com/is/image/MCY/8836986 ")</f>
        <v xml:space="preserve">http://slimages.macys.com/is/image/MCY/8836986 </v>
      </c>
    </row>
    <row r="26" spans="1:12" ht="39.950000000000003" customHeight="1" x14ac:dyDescent="0.25">
      <c r="A26" s="6" t="s">
        <v>1641</v>
      </c>
      <c r="B26" s="7" t="s">
        <v>1642</v>
      </c>
      <c r="C26" s="8">
        <v>1</v>
      </c>
      <c r="D26" s="9">
        <v>39.99</v>
      </c>
      <c r="E26" s="8" t="s">
        <v>1643</v>
      </c>
      <c r="F26" s="7" t="s">
        <v>2355</v>
      </c>
      <c r="G26" s="10" t="s">
        <v>2539</v>
      </c>
      <c r="H26" s="7" t="s">
        <v>2407</v>
      </c>
      <c r="I26" s="7" t="s">
        <v>2434</v>
      </c>
      <c r="J26" s="7"/>
      <c r="K26" s="7"/>
      <c r="L26" s="11" t="str">
        <f>HYPERLINK("http://slimages.macys.com/is/image/MCY/17546507 ")</f>
        <v xml:space="preserve">http://slimages.macys.com/is/image/MCY/17546507 </v>
      </c>
    </row>
    <row r="27" spans="1:12" ht="39.950000000000003" customHeight="1" x14ac:dyDescent="0.25">
      <c r="A27" s="6" t="s">
        <v>2715</v>
      </c>
      <c r="B27" s="7" t="s">
        <v>2716</v>
      </c>
      <c r="C27" s="8">
        <v>1</v>
      </c>
      <c r="D27" s="9">
        <v>38.99</v>
      </c>
      <c r="E27" s="8" t="s">
        <v>2717</v>
      </c>
      <c r="F27" s="7" t="s">
        <v>2368</v>
      </c>
      <c r="G27" s="10"/>
      <c r="H27" s="7" t="s">
        <v>2535</v>
      </c>
      <c r="I27" s="7" t="s">
        <v>2536</v>
      </c>
      <c r="J27" s="7" t="s">
        <v>2363</v>
      </c>
      <c r="K27" s="7" t="s">
        <v>2537</v>
      </c>
      <c r="L27" s="11" t="str">
        <f>HYPERLINK("http://slimages.macys.com/is/image/MCY/14905836 ")</f>
        <v xml:space="preserve">http://slimages.macys.com/is/image/MCY/14905836 </v>
      </c>
    </row>
    <row r="28" spans="1:12" ht="39.950000000000003" customHeight="1" x14ac:dyDescent="0.25">
      <c r="A28" s="6" t="s">
        <v>1644</v>
      </c>
      <c r="B28" s="7" t="s">
        <v>1645</v>
      </c>
      <c r="C28" s="8">
        <v>1</v>
      </c>
      <c r="D28" s="9">
        <v>30.99</v>
      </c>
      <c r="E28" s="8">
        <v>54908</v>
      </c>
      <c r="F28" s="7" t="s">
        <v>2436</v>
      </c>
      <c r="G28" s="10"/>
      <c r="H28" s="7" t="s">
        <v>2391</v>
      </c>
      <c r="I28" s="7" t="s">
        <v>2456</v>
      </c>
      <c r="J28" s="7" t="s">
        <v>2363</v>
      </c>
      <c r="K28" s="7" t="s">
        <v>1646</v>
      </c>
      <c r="L28" s="11" t="str">
        <f>HYPERLINK("http://slimages.macys.com/is/image/MCY/11247740 ")</f>
        <v xml:space="preserve">http://slimages.macys.com/is/image/MCY/11247740 </v>
      </c>
    </row>
    <row r="29" spans="1:12" ht="39.950000000000003" customHeight="1" x14ac:dyDescent="0.25">
      <c r="A29" s="6" t="s">
        <v>1647</v>
      </c>
      <c r="B29" s="7" t="s">
        <v>1648</v>
      </c>
      <c r="C29" s="8">
        <v>1</v>
      </c>
      <c r="D29" s="9">
        <v>32.99</v>
      </c>
      <c r="E29" s="8" t="s">
        <v>1649</v>
      </c>
      <c r="F29" s="7" t="s">
        <v>2368</v>
      </c>
      <c r="G29" s="10"/>
      <c r="H29" s="7" t="s">
        <v>2391</v>
      </c>
      <c r="I29" s="7" t="s">
        <v>2515</v>
      </c>
      <c r="J29" s="7" t="s">
        <v>2363</v>
      </c>
      <c r="K29" s="7" t="s">
        <v>2385</v>
      </c>
      <c r="L29" s="11" t="str">
        <f>HYPERLINK("http://slimages.macys.com/is/image/MCY/9170298 ")</f>
        <v xml:space="preserve">http://slimages.macys.com/is/image/MCY/9170298 </v>
      </c>
    </row>
    <row r="30" spans="1:12" ht="39.950000000000003" customHeight="1" x14ac:dyDescent="0.25">
      <c r="A30" s="6" t="s">
        <v>1650</v>
      </c>
      <c r="B30" s="7" t="s">
        <v>1651</v>
      </c>
      <c r="C30" s="8">
        <v>1</v>
      </c>
      <c r="D30" s="9">
        <v>35.99</v>
      </c>
      <c r="E30" s="8" t="s">
        <v>1652</v>
      </c>
      <c r="F30" s="7" t="s">
        <v>2372</v>
      </c>
      <c r="G30" s="10"/>
      <c r="H30" s="7" t="s">
        <v>2391</v>
      </c>
      <c r="I30" s="7" t="s">
        <v>2409</v>
      </c>
      <c r="J30" s="7" t="s">
        <v>2363</v>
      </c>
      <c r="K30" s="7" t="s">
        <v>2727</v>
      </c>
      <c r="L30" s="11" t="str">
        <f>HYPERLINK("http://slimages.macys.com/is/image/MCY/9310361 ")</f>
        <v xml:space="preserve">http://slimages.macys.com/is/image/MCY/9310361 </v>
      </c>
    </row>
    <row r="31" spans="1:12" ht="39.950000000000003" customHeight="1" x14ac:dyDescent="0.25">
      <c r="A31" s="6" t="s">
        <v>1653</v>
      </c>
      <c r="B31" s="7" t="s">
        <v>1654</v>
      </c>
      <c r="C31" s="8">
        <v>1</v>
      </c>
      <c r="D31" s="9">
        <v>49.99</v>
      </c>
      <c r="E31" s="8">
        <v>130405</v>
      </c>
      <c r="F31" s="7" t="s">
        <v>2454</v>
      </c>
      <c r="G31" s="10"/>
      <c r="H31" s="7" t="s">
        <v>2447</v>
      </c>
      <c r="I31" s="7" t="s">
        <v>2448</v>
      </c>
      <c r="J31" s="7" t="s">
        <v>2363</v>
      </c>
      <c r="K31" s="7" t="s">
        <v>2449</v>
      </c>
      <c r="L31" s="11" t="str">
        <f>HYPERLINK("http://slimages.macys.com/is/image/MCY/15717993 ")</f>
        <v xml:space="preserve">http://slimages.macys.com/is/image/MCY/15717993 </v>
      </c>
    </row>
    <row r="32" spans="1:12" ht="39.950000000000003" customHeight="1" x14ac:dyDescent="0.25">
      <c r="A32" s="6" t="s">
        <v>1655</v>
      </c>
      <c r="B32" s="7" t="s">
        <v>1656</v>
      </c>
      <c r="C32" s="8">
        <v>1</v>
      </c>
      <c r="D32" s="9">
        <v>29.99</v>
      </c>
      <c r="E32" s="8" t="s">
        <v>1657</v>
      </c>
      <c r="F32" s="7" t="s">
        <v>2514</v>
      </c>
      <c r="G32" s="10" t="s">
        <v>1658</v>
      </c>
      <c r="H32" s="7" t="s">
        <v>2391</v>
      </c>
      <c r="I32" s="7" t="s">
        <v>2409</v>
      </c>
      <c r="J32" s="7" t="s">
        <v>2363</v>
      </c>
      <c r="K32" s="7" t="s">
        <v>1659</v>
      </c>
      <c r="L32" s="11" t="str">
        <f>HYPERLINK("http://slimages.macys.com/is/image/MCY/9602270 ")</f>
        <v xml:space="preserve">http://slimages.macys.com/is/image/MCY/9602270 </v>
      </c>
    </row>
    <row r="33" spans="1:12" ht="39.950000000000003" customHeight="1" x14ac:dyDescent="0.25">
      <c r="A33" s="6" t="s">
        <v>1396</v>
      </c>
      <c r="B33" s="7" t="s">
        <v>1397</v>
      </c>
      <c r="C33" s="8">
        <v>1</v>
      </c>
      <c r="D33" s="9">
        <v>29.99</v>
      </c>
      <c r="E33" s="8" t="s">
        <v>1398</v>
      </c>
      <c r="F33" s="7" t="s">
        <v>2495</v>
      </c>
      <c r="G33" s="10"/>
      <c r="H33" s="7" t="s">
        <v>2391</v>
      </c>
      <c r="I33" s="7" t="s">
        <v>2550</v>
      </c>
      <c r="J33" s="7" t="s">
        <v>2363</v>
      </c>
      <c r="K33" s="7" t="s">
        <v>1399</v>
      </c>
      <c r="L33" s="11" t="str">
        <f>HYPERLINK("http://slimages.macys.com/is/image/MCY/3675413 ")</f>
        <v xml:space="preserve">http://slimages.macys.com/is/image/MCY/3675413 </v>
      </c>
    </row>
    <row r="34" spans="1:12" ht="39.950000000000003" customHeight="1" x14ac:dyDescent="0.25">
      <c r="A34" s="6" t="s">
        <v>1660</v>
      </c>
      <c r="B34" s="7" t="s">
        <v>1661</v>
      </c>
      <c r="C34" s="8">
        <v>2</v>
      </c>
      <c r="D34" s="9">
        <v>63.98</v>
      </c>
      <c r="E34" s="8">
        <v>64100</v>
      </c>
      <c r="F34" s="7" t="s">
        <v>2355</v>
      </c>
      <c r="G34" s="10" t="s">
        <v>2539</v>
      </c>
      <c r="H34" s="7" t="s">
        <v>2407</v>
      </c>
      <c r="I34" s="7" t="s">
        <v>2542</v>
      </c>
      <c r="J34" s="7" t="s">
        <v>2363</v>
      </c>
      <c r="K34" s="7" t="s">
        <v>1662</v>
      </c>
      <c r="L34" s="11" t="str">
        <f>HYPERLINK("http://slimages.macys.com/is/image/MCY/13768152 ")</f>
        <v xml:space="preserve">http://slimages.macys.com/is/image/MCY/13768152 </v>
      </c>
    </row>
    <row r="35" spans="1:12" ht="39.950000000000003" customHeight="1" x14ac:dyDescent="0.25">
      <c r="A35" s="6" t="s">
        <v>1663</v>
      </c>
      <c r="B35" s="7" t="s">
        <v>1664</v>
      </c>
      <c r="C35" s="8">
        <v>1</v>
      </c>
      <c r="D35" s="9">
        <v>24.99</v>
      </c>
      <c r="E35" s="8">
        <v>55410</v>
      </c>
      <c r="F35" s="7" t="s">
        <v>2505</v>
      </c>
      <c r="G35" s="10"/>
      <c r="H35" s="7" t="s">
        <v>2391</v>
      </c>
      <c r="I35" s="7" t="s">
        <v>2456</v>
      </c>
      <c r="J35" s="7" t="s">
        <v>2363</v>
      </c>
      <c r="K35" s="7" t="s">
        <v>2385</v>
      </c>
      <c r="L35" s="11" t="str">
        <f>HYPERLINK("http://slimages.macys.com/is/image/MCY/9972677 ")</f>
        <v xml:space="preserve">http://slimages.macys.com/is/image/MCY/9972677 </v>
      </c>
    </row>
    <row r="36" spans="1:12" ht="39.950000000000003" customHeight="1" x14ac:dyDescent="0.25">
      <c r="A36" s="6" t="s">
        <v>1665</v>
      </c>
      <c r="B36" s="7" t="s">
        <v>1666</v>
      </c>
      <c r="C36" s="8">
        <v>1</v>
      </c>
      <c r="D36" s="9">
        <v>14.99</v>
      </c>
      <c r="E36" s="8" t="s">
        <v>2547</v>
      </c>
      <c r="F36" s="7" t="s">
        <v>3009</v>
      </c>
      <c r="G36" s="10"/>
      <c r="H36" s="7" t="s">
        <v>2548</v>
      </c>
      <c r="I36" s="7" t="s">
        <v>2549</v>
      </c>
      <c r="J36" s="7" t="s">
        <v>2363</v>
      </c>
      <c r="K36" s="7"/>
      <c r="L36" s="11" t="str">
        <f>HYPERLINK("http://slimages.macys.com/is/image/MCY/9408114 ")</f>
        <v xml:space="preserve">http://slimages.macys.com/is/image/MCY/9408114 </v>
      </c>
    </row>
    <row r="37" spans="1:12" ht="39.950000000000003" customHeight="1" x14ac:dyDescent="0.25">
      <c r="A37" s="6" t="s">
        <v>1667</v>
      </c>
      <c r="B37" s="7" t="s">
        <v>1668</v>
      </c>
      <c r="C37" s="8">
        <v>1</v>
      </c>
      <c r="D37" s="9">
        <v>11.99</v>
      </c>
      <c r="E37" s="8">
        <v>51266</v>
      </c>
      <c r="F37" s="7" t="s">
        <v>2435</v>
      </c>
      <c r="G37" s="10"/>
      <c r="H37" s="7" t="s">
        <v>2391</v>
      </c>
      <c r="I37" s="7" t="s">
        <v>2456</v>
      </c>
      <c r="J37" s="7" t="s">
        <v>2363</v>
      </c>
      <c r="K37" s="7" t="s">
        <v>2385</v>
      </c>
      <c r="L37" s="11" t="str">
        <f>HYPERLINK("http://slimages.macys.com/is/image/MCY/8745259 ")</f>
        <v xml:space="preserve">http://slimages.macys.com/is/image/MCY/8745259 </v>
      </c>
    </row>
    <row r="38" spans="1:12" ht="39.950000000000003" customHeight="1" x14ac:dyDescent="0.25">
      <c r="A38" s="6" t="s">
        <v>1669</v>
      </c>
      <c r="B38" s="7" t="s">
        <v>1670</v>
      </c>
      <c r="C38" s="8">
        <v>1</v>
      </c>
      <c r="D38" s="9">
        <v>12.99</v>
      </c>
      <c r="E38" s="8">
        <v>51107</v>
      </c>
      <c r="F38" s="7" t="s">
        <v>2355</v>
      </c>
      <c r="G38" s="10"/>
      <c r="H38" s="7" t="s">
        <v>2391</v>
      </c>
      <c r="I38" s="7" t="s">
        <v>2456</v>
      </c>
      <c r="J38" s="7" t="s">
        <v>2363</v>
      </c>
      <c r="K38" s="7"/>
      <c r="L38" s="11" t="str">
        <f>HYPERLINK("http://slimages.macys.com/is/image/MCY/8740070 ")</f>
        <v xml:space="preserve">http://slimages.macys.com/is/image/MCY/8740070 </v>
      </c>
    </row>
    <row r="39" spans="1:12" ht="39.950000000000003" customHeight="1" x14ac:dyDescent="0.25">
      <c r="A39" s="6" t="s">
        <v>1671</v>
      </c>
      <c r="B39" s="7" t="s">
        <v>1672</v>
      </c>
      <c r="C39" s="8">
        <v>1</v>
      </c>
      <c r="D39" s="9">
        <v>14.99</v>
      </c>
      <c r="E39" s="8" t="s">
        <v>1673</v>
      </c>
      <c r="F39" s="7"/>
      <c r="G39" s="10"/>
      <c r="H39" s="7" t="s">
        <v>2369</v>
      </c>
      <c r="I39" s="7" t="s">
        <v>2975</v>
      </c>
      <c r="J39" s="7"/>
      <c r="K39" s="7"/>
      <c r="L39" s="11" t="str">
        <f>HYPERLINK("http://slimages.macys.com/is/image/MCY/17718768 ")</f>
        <v xml:space="preserve">http://slimages.macys.com/is/image/MCY/17718768 </v>
      </c>
    </row>
    <row r="40" spans="1:12" ht="39.950000000000003" customHeight="1" x14ac:dyDescent="0.25">
      <c r="A40" s="6" t="s">
        <v>1674</v>
      </c>
      <c r="B40" s="7" t="s">
        <v>1675</v>
      </c>
      <c r="C40" s="8">
        <v>1</v>
      </c>
      <c r="D40" s="9">
        <v>12.99</v>
      </c>
      <c r="E40" s="8" t="s">
        <v>1676</v>
      </c>
      <c r="F40" s="7" t="s">
        <v>2468</v>
      </c>
      <c r="G40" s="10"/>
      <c r="H40" s="7" t="s">
        <v>2413</v>
      </c>
      <c r="I40" s="7" t="s">
        <v>2555</v>
      </c>
      <c r="J40" s="7" t="s">
        <v>2496</v>
      </c>
      <c r="K40" s="7" t="s">
        <v>2887</v>
      </c>
      <c r="L40" s="11" t="str">
        <f>HYPERLINK("http://slimages.macys.com/is/image/MCY/2831820 ")</f>
        <v xml:space="preserve">http://slimages.macys.com/is/image/MCY/2831820 </v>
      </c>
    </row>
    <row r="41" spans="1:12" ht="39.950000000000003" customHeight="1" x14ac:dyDescent="0.25">
      <c r="A41" s="6" t="s">
        <v>1677</v>
      </c>
      <c r="B41" s="7" t="s">
        <v>1678</v>
      </c>
      <c r="C41" s="8">
        <v>1</v>
      </c>
      <c r="D41" s="9">
        <v>14.99</v>
      </c>
      <c r="E41" s="8" t="s">
        <v>1679</v>
      </c>
      <c r="F41" s="7" t="s">
        <v>2355</v>
      </c>
      <c r="G41" s="10"/>
      <c r="H41" s="7" t="s">
        <v>2413</v>
      </c>
      <c r="I41" s="7" t="s">
        <v>2555</v>
      </c>
      <c r="J41" s="7" t="s">
        <v>2496</v>
      </c>
      <c r="K41" s="7"/>
      <c r="L41" s="11" t="str">
        <f>HYPERLINK("http://slimages.macys.com/is/image/MCY/3814766 ")</f>
        <v xml:space="preserve">http://slimages.macys.com/is/image/MCY/3814766 </v>
      </c>
    </row>
    <row r="42" spans="1:12" ht="39.950000000000003" customHeight="1" x14ac:dyDescent="0.25">
      <c r="A42" s="6" t="s">
        <v>1680</v>
      </c>
      <c r="B42" s="7" t="s">
        <v>1681</v>
      </c>
      <c r="C42" s="8">
        <v>1</v>
      </c>
      <c r="D42" s="9">
        <v>109.99</v>
      </c>
      <c r="E42" s="8" t="s">
        <v>1682</v>
      </c>
      <c r="F42" s="7" t="s">
        <v>2355</v>
      </c>
      <c r="G42" s="10"/>
      <c r="H42" s="7" t="s">
        <v>2391</v>
      </c>
      <c r="I42" s="7" t="s">
        <v>1683</v>
      </c>
      <c r="J42" s="7"/>
      <c r="K42" s="7"/>
      <c r="L42" s="11"/>
    </row>
    <row r="43" spans="1:12" ht="39.950000000000003" customHeight="1" x14ac:dyDescent="0.25">
      <c r="A43" s="6" t="s">
        <v>2466</v>
      </c>
      <c r="B43" s="7" t="s">
        <v>2467</v>
      </c>
      <c r="C43" s="8">
        <v>3</v>
      </c>
      <c r="D43" s="9">
        <v>120</v>
      </c>
      <c r="E43" s="8"/>
      <c r="F43" s="7" t="s">
        <v>2468</v>
      </c>
      <c r="G43" s="10" t="s">
        <v>2469</v>
      </c>
      <c r="H43" s="7" t="s">
        <v>2470</v>
      </c>
      <c r="I43" s="7" t="s">
        <v>2471</v>
      </c>
      <c r="J43" s="7"/>
      <c r="K43" s="7"/>
      <c r="L43" s="11"/>
    </row>
    <row r="44" spans="1:12" ht="39.950000000000003" customHeight="1" x14ac:dyDescent="0.25">
      <c r="A44" s="6" t="s">
        <v>1684</v>
      </c>
      <c r="B44" s="7" t="s">
        <v>1685</v>
      </c>
      <c r="C44" s="8">
        <v>2</v>
      </c>
      <c r="D44" s="9">
        <v>139.97999999999999</v>
      </c>
      <c r="E44" s="8" t="s">
        <v>1686</v>
      </c>
      <c r="F44" s="7" t="s">
        <v>2446</v>
      </c>
      <c r="G44" s="10"/>
      <c r="H44" s="7" t="s">
        <v>2391</v>
      </c>
      <c r="I44" s="7" t="s">
        <v>2418</v>
      </c>
      <c r="J44" s="7"/>
      <c r="K44" s="7"/>
      <c r="L44" s="11"/>
    </row>
    <row r="45" spans="1:12" ht="39.950000000000003" customHeight="1" x14ac:dyDescent="0.25">
      <c r="A45" s="6" t="s">
        <v>1687</v>
      </c>
      <c r="B45" s="7" t="s">
        <v>1688</v>
      </c>
      <c r="C45" s="8">
        <v>1</v>
      </c>
      <c r="D45" s="9">
        <v>49.99</v>
      </c>
      <c r="E45" s="8" t="s">
        <v>1689</v>
      </c>
      <c r="F45" s="7" t="s">
        <v>2446</v>
      </c>
      <c r="G45" s="10"/>
      <c r="H45" s="7" t="s">
        <v>2387</v>
      </c>
      <c r="I45" s="7" t="s">
        <v>2404</v>
      </c>
      <c r="J45" s="7"/>
      <c r="K45" s="7"/>
      <c r="L45" s="11"/>
    </row>
    <row r="46" spans="1:12" ht="39.950000000000003" customHeight="1" x14ac:dyDescent="0.25">
      <c r="A46" s="6" t="s">
        <v>1690</v>
      </c>
      <c r="B46" s="7" t="s">
        <v>1691</v>
      </c>
      <c r="C46" s="8">
        <v>1</v>
      </c>
      <c r="D46" s="9">
        <v>29.99</v>
      </c>
      <c r="E46" s="8" t="s">
        <v>1692</v>
      </c>
      <c r="F46" s="7" t="s">
        <v>2506</v>
      </c>
      <c r="G46" s="10" t="s">
        <v>2469</v>
      </c>
      <c r="H46" s="7" t="s">
        <v>2532</v>
      </c>
      <c r="I46" s="7" t="s">
        <v>1693</v>
      </c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58"/>
  <sheetViews>
    <sheetView workbookViewId="0">
      <selection activeCell="B44" sqref="B44"/>
    </sheetView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2343</v>
      </c>
      <c r="B1" s="5" t="s">
        <v>2344</v>
      </c>
      <c r="C1" s="5" t="s">
        <v>2345</v>
      </c>
      <c r="D1" s="5" t="s">
        <v>2346</v>
      </c>
      <c r="E1" s="5" t="s">
        <v>2347</v>
      </c>
      <c r="F1" s="5" t="s">
        <v>2348</v>
      </c>
      <c r="G1" s="5" t="s">
        <v>2349</v>
      </c>
      <c r="H1" s="5" t="s">
        <v>2350</v>
      </c>
      <c r="I1" s="5" t="s">
        <v>2351</v>
      </c>
      <c r="J1" s="5" t="s">
        <v>2352</v>
      </c>
      <c r="K1" s="5" t="s">
        <v>2353</v>
      </c>
      <c r="L1" s="5" t="s">
        <v>2354</v>
      </c>
    </row>
    <row r="2" spans="1:12" ht="39.950000000000003" customHeight="1" x14ac:dyDescent="0.25">
      <c r="A2" s="6" t="s">
        <v>2643</v>
      </c>
      <c r="B2" s="7" t="s">
        <v>2644</v>
      </c>
      <c r="C2" s="8">
        <v>1</v>
      </c>
      <c r="D2" s="9">
        <v>299.99</v>
      </c>
      <c r="E2" s="8" t="s">
        <v>2645</v>
      </c>
      <c r="F2" s="7" t="s">
        <v>2355</v>
      </c>
      <c r="G2" s="10"/>
      <c r="H2" s="7" t="s">
        <v>2545</v>
      </c>
      <c r="I2" s="7" t="s">
        <v>2524</v>
      </c>
      <c r="J2" s="7" t="s">
        <v>2363</v>
      </c>
      <c r="K2" s="7" t="s">
        <v>2642</v>
      </c>
      <c r="L2" s="11" t="str">
        <f>HYPERLINK("http://slimages.macys.com/is/image/MCY/3969345 ")</f>
        <v xml:space="preserve">http://slimages.macys.com/is/image/MCY/3969345 </v>
      </c>
    </row>
    <row r="3" spans="1:12" ht="39.950000000000003" customHeight="1" x14ac:dyDescent="0.25">
      <c r="A3" s="6" t="s">
        <v>2647</v>
      </c>
      <c r="B3" s="7" t="s">
        <v>2648</v>
      </c>
      <c r="C3" s="8">
        <v>2</v>
      </c>
      <c r="D3" s="9">
        <v>519.98</v>
      </c>
      <c r="E3" s="8" t="s">
        <v>2649</v>
      </c>
      <c r="F3" s="7" t="s">
        <v>2355</v>
      </c>
      <c r="G3" s="10"/>
      <c r="H3" s="7" t="s">
        <v>2357</v>
      </c>
      <c r="I3" s="7" t="s">
        <v>2378</v>
      </c>
      <c r="J3" s="7" t="s">
        <v>2363</v>
      </c>
      <c r="K3" s="7" t="s">
        <v>2650</v>
      </c>
      <c r="L3" s="11" t="str">
        <f>HYPERLINK("http://slimages.macys.com/is/image/MCY/11953123 ")</f>
        <v xml:space="preserve">http://slimages.macys.com/is/image/MCY/11953123 </v>
      </c>
    </row>
    <row r="4" spans="1:12" ht="39.950000000000003" customHeight="1" x14ac:dyDescent="0.25">
      <c r="A4" s="6" t="s">
        <v>1765</v>
      </c>
      <c r="B4" s="7" t="s">
        <v>1766</v>
      </c>
      <c r="C4" s="8">
        <v>1</v>
      </c>
      <c r="D4" s="9">
        <v>250.99</v>
      </c>
      <c r="E4" s="8">
        <v>77327</v>
      </c>
      <c r="F4" s="7" t="s">
        <v>2436</v>
      </c>
      <c r="G4" s="10"/>
      <c r="H4" s="7" t="s">
        <v>2369</v>
      </c>
      <c r="I4" s="7" t="s">
        <v>3015</v>
      </c>
      <c r="J4" s="7" t="s">
        <v>2363</v>
      </c>
      <c r="K4" s="7" t="s">
        <v>1767</v>
      </c>
      <c r="L4" s="11" t="str">
        <f>HYPERLINK("http://slimages.macys.com/is/image/MCY/11942480 ")</f>
        <v xml:space="preserve">http://slimages.macys.com/is/image/MCY/11942480 </v>
      </c>
    </row>
    <row r="5" spans="1:12" ht="39.950000000000003" customHeight="1" x14ac:dyDescent="0.25">
      <c r="A5" s="6" t="s">
        <v>1768</v>
      </c>
      <c r="B5" s="7" t="s">
        <v>1769</v>
      </c>
      <c r="C5" s="8">
        <v>1</v>
      </c>
      <c r="D5" s="9">
        <v>199.99</v>
      </c>
      <c r="E5" s="8" t="s">
        <v>1770</v>
      </c>
      <c r="F5" s="7" t="s">
        <v>2567</v>
      </c>
      <c r="G5" s="10"/>
      <c r="H5" s="7" t="s">
        <v>2357</v>
      </c>
      <c r="I5" s="7" t="s">
        <v>2476</v>
      </c>
      <c r="J5" s="7" t="s">
        <v>2363</v>
      </c>
      <c r="K5" s="7" t="s">
        <v>1771</v>
      </c>
      <c r="L5" s="11" t="str">
        <f>HYPERLINK("http://slimages.macys.com/is/image/MCY/15924247 ")</f>
        <v xml:space="preserve">http://slimages.macys.com/is/image/MCY/15924247 </v>
      </c>
    </row>
    <row r="6" spans="1:12" ht="39.950000000000003" customHeight="1" x14ac:dyDescent="0.25">
      <c r="A6" s="6" t="s">
        <v>1772</v>
      </c>
      <c r="B6" s="7" t="s">
        <v>1773</v>
      </c>
      <c r="C6" s="8">
        <v>1</v>
      </c>
      <c r="D6" s="9">
        <v>179.99</v>
      </c>
      <c r="E6" s="8">
        <v>82201</v>
      </c>
      <c r="F6" s="7" t="s">
        <v>2848</v>
      </c>
      <c r="G6" s="10"/>
      <c r="H6" s="7" t="s">
        <v>2369</v>
      </c>
      <c r="I6" s="7" t="s">
        <v>3015</v>
      </c>
      <c r="J6" s="7" t="s">
        <v>2363</v>
      </c>
      <c r="K6" s="7" t="s">
        <v>1774</v>
      </c>
      <c r="L6" s="11" t="str">
        <f>HYPERLINK("http://slimages.macys.com/is/image/MCY/16522333 ")</f>
        <v xml:space="preserve">http://slimages.macys.com/is/image/MCY/16522333 </v>
      </c>
    </row>
    <row r="7" spans="1:12" ht="39.950000000000003" customHeight="1" x14ac:dyDescent="0.25">
      <c r="A7" s="6" t="s">
        <v>1775</v>
      </c>
      <c r="B7" s="7" t="s">
        <v>1776</v>
      </c>
      <c r="C7" s="8">
        <v>1</v>
      </c>
      <c r="D7" s="9">
        <v>151.99</v>
      </c>
      <c r="E7" s="8" t="s">
        <v>1777</v>
      </c>
      <c r="F7" s="7" t="s">
        <v>2538</v>
      </c>
      <c r="G7" s="10"/>
      <c r="H7" s="7" t="s">
        <v>2391</v>
      </c>
      <c r="I7" s="7" t="s">
        <v>2571</v>
      </c>
      <c r="J7" s="7" t="s">
        <v>2363</v>
      </c>
      <c r="K7" s="7" t="s">
        <v>2389</v>
      </c>
      <c r="L7" s="11" t="str">
        <f>HYPERLINK("http://slimages.macys.com/is/image/MCY/13046449 ")</f>
        <v xml:space="preserve">http://slimages.macys.com/is/image/MCY/13046449 </v>
      </c>
    </row>
    <row r="8" spans="1:12" ht="39.950000000000003" customHeight="1" x14ac:dyDescent="0.25">
      <c r="A8" s="6" t="s">
        <v>1778</v>
      </c>
      <c r="B8" s="7" t="s">
        <v>1779</v>
      </c>
      <c r="C8" s="8">
        <v>1</v>
      </c>
      <c r="D8" s="9">
        <v>109.99</v>
      </c>
      <c r="E8" s="8" t="s">
        <v>1780</v>
      </c>
      <c r="F8" s="7" t="s">
        <v>2600</v>
      </c>
      <c r="G8" s="10"/>
      <c r="H8" s="7" t="s">
        <v>2391</v>
      </c>
      <c r="I8" s="7" t="s">
        <v>1781</v>
      </c>
      <c r="J8" s="7"/>
      <c r="K8" s="7"/>
      <c r="L8" s="11" t="str">
        <f>HYPERLINK("http://slimages.macys.com/is/image/MCY/18059407 ")</f>
        <v xml:space="preserve">http://slimages.macys.com/is/image/MCY/18059407 </v>
      </c>
    </row>
    <row r="9" spans="1:12" ht="39.950000000000003" customHeight="1" x14ac:dyDescent="0.25">
      <c r="A9" s="6" t="s">
        <v>2968</v>
      </c>
      <c r="B9" s="7" t="s">
        <v>2969</v>
      </c>
      <c r="C9" s="8">
        <v>1</v>
      </c>
      <c r="D9" s="9">
        <v>109.99</v>
      </c>
      <c r="E9" s="8" t="s">
        <v>2970</v>
      </c>
      <c r="F9" s="7" t="s">
        <v>2362</v>
      </c>
      <c r="G9" s="10"/>
      <c r="H9" s="7" t="s">
        <v>2396</v>
      </c>
      <c r="I9" s="7" t="s">
        <v>2397</v>
      </c>
      <c r="J9" s="7" t="s">
        <v>2363</v>
      </c>
      <c r="K9" s="7"/>
      <c r="L9" s="11" t="str">
        <f>HYPERLINK("http://slimages.macys.com/is/image/MCY/11534834 ")</f>
        <v xml:space="preserve">http://slimages.macys.com/is/image/MCY/11534834 </v>
      </c>
    </row>
    <row r="10" spans="1:12" ht="39.950000000000003" customHeight="1" x14ac:dyDescent="0.25">
      <c r="A10" s="6" t="s">
        <v>1782</v>
      </c>
      <c r="B10" s="7" t="s">
        <v>1783</v>
      </c>
      <c r="C10" s="8">
        <v>1</v>
      </c>
      <c r="D10" s="9">
        <v>139.99</v>
      </c>
      <c r="E10" s="8" t="s">
        <v>2858</v>
      </c>
      <c r="F10" s="7" t="s">
        <v>2424</v>
      </c>
      <c r="G10" s="10"/>
      <c r="H10" s="7" t="s">
        <v>2375</v>
      </c>
      <c r="I10" s="7" t="s">
        <v>2376</v>
      </c>
      <c r="J10" s="7"/>
      <c r="K10" s="7"/>
      <c r="L10" s="11" t="str">
        <f>HYPERLINK("http://slimages.macys.com/is/image/MCY/18893344 ")</f>
        <v xml:space="preserve">http://slimages.macys.com/is/image/MCY/18893344 </v>
      </c>
    </row>
    <row r="11" spans="1:12" ht="39.950000000000003" customHeight="1" x14ac:dyDescent="0.25">
      <c r="A11" s="6" t="s">
        <v>1593</v>
      </c>
      <c r="B11" s="7" t="s">
        <v>1594</v>
      </c>
      <c r="C11" s="8">
        <v>1</v>
      </c>
      <c r="D11" s="9">
        <v>149.99</v>
      </c>
      <c r="E11" s="8" t="s">
        <v>1595</v>
      </c>
      <c r="F11" s="7" t="s">
        <v>2355</v>
      </c>
      <c r="G11" s="10"/>
      <c r="H11" s="7" t="s">
        <v>2396</v>
      </c>
      <c r="I11" s="7" t="s">
        <v>2397</v>
      </c>
      <c r="J11" s="7" t="s">
        <v>2363</v>
      </c>
      <c r="K11" s="7" t="s">
        <v>2491</v>
      </c>
      <c r="L11" s="11" t="str">
        <f>HYPERLINK("http://slimages.macys.com/is/image/MCY/15389610 ")</f>
        <v xml:space="preserve">http://slimages.macys.com/is/image/MCY/15389610 </v>
      </c>
    </row>
    <row r="12" spans="1:12" ht="39.950000000000003" customHeight="1" x14ac:dyDescent="0.25">
      <c r="A12" s="6" t="s">
        <v>2754</v>
      </c>
      <c r="B12" s="7" t="s">
        <v>2755</v>
      </c>
      <c r="C12" s="8">
        <v>1</v>
      </c>
      <c r="D12" s="9">
        <v>109.99</v>
      </c>
      <c r="E12" s="8" t="s">
        <v>2756</v>
      </c>
      <c r="F12" s="7"/>
      <c r="G12" s="10"/>
      <c r="H12" s="7" t="s">
        <v>2369</v>
      </c>
      <c r="I12" s="7" t="s">
        <v>2409</v>
      </c>
      <c r="J12" s="7"/>
      <c r="K12" s="7"/>
      <c r="L12" s="11" t="str">
        <f>HYPERLINK("http://slimages.macys.com/is/image/MCY/17900439 ")</f>
        <v xml:space="preserve">http://slimages.macys.com/is/image/MCY/17900439 </v>
      </c>
    </row>
    <row r="13" spans="1:12" ht="39.950000000000003" customHeight="1" x14ac:dyDescent="0.25">
      <c r="A13" s="6" t="s">
        <v>1784</v>
      </c>
      <c r="B13" s="7" t="s">
        <v>1785</v>
      </c>
      <c r="C13" s="8">
        <v>1</v>
      </c>
      <c r="D13" s="9">
        <v>99.99</v>
      </c>
      <c r="E13" s="8" t="s">
        <v>2687</v>
      </c>
      <c r="F13" s="7" t="s">
        <v>2362</v>
      </c>
      <c r="G13" s="10"/>
      <c r="H13" s="7" t="s">
        <v>2486</v>
      </c>
      <c r="I13" s="7" t="s">
        <v>2487</v>
      </c>
      <c r="J13" s="7" t="s">
        <v>2496</v>
      </c>
      <c r="K13" s="7" t="s">
        <v>2688</v>
      </c>
      <c r="L13" s="11" t="str">
        <f>HYPERLINK("http://slimages.macys.com/is/image/MCY/11640418 ")</f>
        <v xml:space="preserve">http://slimages.macys.com/is/image/MCY/11640418 </v>
      </c>
    </row>
    <row r="14" spans="1:12" ht="39.950000000000003" customHeight="1" x14ac:dyDescent="0.25">
      <c r="A14" s="6" t="s">
        <v>1786</v>
      </c>
      <c r="B14" s="7" t="s">
        <v>1787</v>
      </c>
      <c r="C14" s="8">
        <v>1</v>
      </c>
      <c r="D14" s="9">
        <v>149.99</v>
      </c>
      <c r="E14" s="8" t="s">
        <v>1788</v>
      </c>
      <c r="F14" s="7" t="s">
        <v>2355</v>
      </c>
      <c r="G14" s="10"/>
      <c r="H14" s="7" t="s">
        <v>2357</v>
      </c>
      <c r="I14" s="7" t="s">
        <v>2820</v>
      </c>
      <c r="J14" s="7" t="s">
        <v>2363</v>
      </c>
      <c r="K14" s="7" t="s">
        <v>2640</v>
      </c>
      <c r="L14" s="11" t="str">
        <f>HYPERLINK("http://slimages.macys.com/is/image/MCY/3573212 ")</f>
        <v xml:space="preserve">http://slimages.macys.com/is/image/MCY/3573212 </v>
      </c>
    </row>
    <row r="15" spans="1:12" ht="39.950000000000003" customHeight="1" x14ac:dyDescent="0.25">
      <c r="A15" s="6" t="s">
        <v>1789</v>
      </c>
      <c r="B15" s="7" t="s">
        <v>1790</v>
      </c>
      <c r="C15" s="8">
        <v>1</v>
      </c>
      <c r="D15" s="9">
        <v>99.99</v>
      </c>
      <c r="E15" s="8" t="s">
        <v>1791</v>
      </c>
      <c r="F15" s="7" t="s">
        <v>2355</v>
      </c>
      <c r="G15" s="10"/>
      <c r="H15" s="7" t="s">
        <v>2486</v>
      </c>
      <c r="I15" s="7" t="s">
        <v>2585</v>
      </c>
      <c r="J15" s="7" t="s">
        <v>2363</v>
      </c>
      <c r="K15" s="7" t="s">
        <v>1792</v>
      </c>
      <c r="L15" s="11" t="str">
        <f>HYPERLINK("http://slimages.macys.com/is/image/MCY/13417209 ")</f>
        <v xml:space="preserve">http://slimages.macys.com/is/image/MCY/13417209 </v>
      </c>
    </row>
    <row r="16" spans="1:12" ht="39.950000000000003" customHeight="1" x14ac:dyDescent="0.25">
      <c r="A16" s="6" t="s">
        <v>1793</v>
      </c>
      <c r="B16" s="7" t="s">
        <v>1794</v>
      </c>
      <c r="C16" s="8">
        <v>1</v>
      </c>
      <c r="D16" s="9">
        <v>89.99</v>
      </c>
      <c r="E16" s="8" t="s">
        <v>1795</v>
      </c>
      <c r="F16" s="7" t="s">
        <v>1796</v>
      </c>
      <c r="G16" s="10"/>
      <c r="H16" s="7" t="s">
        <v>2548</v>
      </c>
      <c r="I16" s="7" t="s">
        <v>2638</v>
      </c>
      <c r="J16" s="7" t="s">
        <v>2363</v>
      </c>
      <c r="K16" s="7"/>
      <c r="L16" s="11" t="str">
        <f>HYPERLINK("http://slimages.macys.com/is/image/MCY/11241738 ")</f>
        <v xml:space="preserve">http://slimages.macys.com/is/image/MCY/11241738 </v>
      </c>
    </row>
    <row r="17" spans="1:12" ht="39.950000000000003" customHeight="1" x14ac:dyDescent="0.25">
      <c r="A17" s="6" t="s">
        <v>1797</v>
      </c>
      <c r="B17" s="7" t="s">
        <v>1798</v>
      </c>
      <c r="C17" s="8">
        <v>1</v>
      </c>
      <c r="D17" s="9">
        <v>149.99</v>
      </c>
      <c r="E17" s="8" t="s">
        <v>1799</v>
      </c>
      <c r="F17" s="7" t="s">
        <v>2355</v>
      </c>
      <c r="G17" s="10" t="s">
        <v>2595</v>
      </c>
      <c r="H17" s="7" t="s">
        <v>2357</v>
      </c>
      <c r="I17" s="7" t="s">
        <v>2378</v>
      </c>
      <c r="J17" s="7" t="s">
        <v>2363</v>
      </c>
      <c r="K17" s="7" t="s">
        <v>2844</v>
      </c>
      <c r="L17" s="11" t="str">
        <f>HYPERLINK("http://slimages.macys.com/is/image/MCY/16356754 ")</f>
        <v xml:space="preserve">http://slimages.macys.com/is/image/MCY/16356754 </v>
      </c>
    </row>
    <row r="18" spans="1:12" ht="39.950000000000003" customHeight="1" x14ac:dyDescent="0.25">
      <c r="A18" s="6" t="s">
        <v>1800</v>
      </c>
      <c r="B18" s="7" t="s">
        <v>1801</v>
      </c>
      <c r="C18" s="8">
        <v>1</v>
      </c>
      <c r="D18" s="9">
        <v>57.99</v>
      </c>
      <c r="E18" s="8" t="s">
        <v>1802</v>
      </c>
      <c r="F18" s="7" t="s">
        <v>2514</v>
      </c>
      <c r="G18" s="10"/>
      <c r="H18" s="7" t="s">
        <v>2387</v>
      </c>
      <c r="I18" s="7" t="s">
        <v>1803</v>
      </c>
      <c r="J18" s="7" t="s">
        <v>2363</v>
      </c>
      <c r="K18" s="7" t="s">
        <v>2421</v>
      </c>
      <c r="L18" s="11" t="str">
        <f>HYPERLINK("http://slimages.macys.com/is/image/MCY/11386465 ")</f>
        <v xml:space="preserve">http://slimages.macys.com/is/image/MCY/11386465 </v>
      </c>
    </row>
    <row r="19" spans="1:12" ht="39.950000000000003" customHeight="1" x14ac:dyDescent="0.25">
      <c r="A19" s="6" t="s">
        <v>1804</v>
      </c>
      <c r="B19" s="7" t="s">
        <v>1805</v>
      </c>
      <c r="C19" s="8">
        <v>1</v>
      </c>
      <c r="D19" s="9">
        <v>79.989999999999995</v>
      </c>
      <c r="E19" s="8" t="s">
        <v>1806</v>
      </c>
      <c r="F19" s="7" t="s">
        <v>2355</v>
      </c>
      <c r="G19" s="10"/>
      <c r="H19" s="7" t="s">
        <v>2548</v>
      </c>
      <c r="I19" s="7" t="s">
        <v>2638</v>
      </c>
      <c r="J19" s="7" t="s">
        <v>2363</v>
      </c>
      <c r="K19" s="7"/>
      <c r="L19" s="11" t="str">
        <f>HYPERLINK("http://slimages.macys.com/is/image/MCY/8670787 ")</f>
        <v xml:space="preserve">http://slimages.macys.com/is/image/MCY/8670787 </v>
      </c>
    </row>
    <row r="20" spans="1:12" ht="39.950000000000003" customHeight="1" x14ac:dyDescent="0.25">
      <c r="A20" s="6" t="s">
        <v>2909</v>
      </c>
      <c r="B20" s="7" t="s">
        <v>2910</v>
      </c>
      <c r="C20" s="8">
        <v>2</v>
      </c>
      <c r="D20" s="9">
        <v>159.97999999999999</v>
      </c>
      <c r="E20" s="8" t="s">
        <v>2911</v>
      </c>
      <c r="F20" s="7" t="s">
        <v>2362</v>
      </c>
      <c r="G20" s="10"/>
      <c r="H20" s="7" t="s">
        <v>2357</v>
      </c>
      <c r="I20" s="7" t="s">
        <v>2358</v>
      </c>
      <c r="J20" s="7" t="s">
        <v>2363</v>
      </c>
      <c r="K20" s="7" t="s">
        <v>2367</v>
      </c>
      <c r="L20" s="11" t="str">
        <f>HYPERLINK("http://slimages.macys.com/is/image/MCY/9621143 ")</f>
        <v xml:space="preserve">http://slimages.macys.com/is/image/MCY/9621143 </v>
      </c>
    </row>
    <row r="21" spans="1:12" ht="39.950000000000003" customHeight="1" x14ac:dyDescent="0.25">
      <c r="A21" s="6" t="s">
        <v>1807</v>
      </c>
      <c r="B21" s="7" t="s">
        <v>1808</v>
      </c>
      <c r="C21" s="8">
        <v>1</v>
      </c>
      <c r="D21" s="9">
        <v>59.99</v>
      </c>
      <c r="E21" s="8" t="s">
        <v>1809</v>
      </c>
      <c r="F21" s="7" t="s">
        <v>2355</v>
      </c>
      <c r="G21" s="10"/>
      <c r="H21" s="7" t="s">
        <v>2532</v>
      </c>
      <c r="I21" s="7" t="s">
        <v>2664</v>
      </c>
      <c r="J21" s="7" t="s">
        <v>2363</v>
      </c>
      <c r="K21" s="7" t="s">
        <v>2389</v>
      </c>
      <c r="L21" s="11" t="str">
        <f>HYPERLINK("http://slimages.macys.com/is/image/MCY/13067093 ")</f>
        <v xml:space="preserve">http://slimages.macys.com/is/image/MCY/13067093 </v>
      </c>
    </row>
    <row r="22" spans="1:12" ht="39.950000000000003" customHeight="1" x14ac:dyDescent="0.25">
      <c r="A22" s="6" t="s">
        <v>1810</v>
      </c>
      <c r="B22" s="7" t="s">
        <v>1811</v>
      </c>
      <c r="C22" s="8">
        <v>1</v>
      </c>
      <c r="D22" s="9">
        <v>59.99</v>
      </c>
      <c r="E22" s="8" t="s">
        <v>1812</v>
      </c>
      <c r="F22" s="7" t="s">
        <v>2495</v>
      </c>
      <c r="G22" s="10"/>
      <c r="H22" s="7" t="s">
        <v>2391</v>
      </c>
      <c r="I22" s="7" t="s">
        <v>2673</v>
      </c>
      <c r="J22" s="7"/>
      <c r="K22" s="7"/>
      <c r="L22" s="11" t="str">
        <f>HYPERLINK("http://slimages.macys.com/is/image/MCY/17806527 ")</f>
        <v xml:space="preserve">http://slimages.macys.com/is/image/MCY/17806527 </v>
      </c>
    </row>
    <row r="23" spans="1:12" ht="39.950000000000003" customHeight="1" x14ac:dyDescent="0.25">
      <c r="A23" s="6" t="s">
        <v>1813</v>
      </c>
      <c r="B23" s="7" t="s">
        <v>1814</v>
      </c>
      <c r="C23" s="8">
        <v>2</v>
      </c>
      <c r="D23" s="9">
        <v>115.98</v>
      </c>
      <c r="E23" s="8" t="s">
        <v>1815</v>
      </c>
      <c r="F23" s="7" t="s">
        <v>2848</v>
      </c>
      <c r="G23" s="10"/>
      <c r="H23" s="7" t="s">
        <v>2391</v>
      </c>
      <c r="I23" s="7" t="s">
        <v>2409</v>
      </c>
      <c r="J23" s="7" t="s">
        <v>2363</v>
      </c>
      <c r="K23" s="7" t="s">
        <v>2927</v>
      </c>
      <c r="L23" s="11" t="str">
        <f>HYPERLINK("http://slimages.macys.com/is/image/MCY/9534095 ")</f>
        <v xml:space="preserve">http://slimages.macys.com/is/image/MCY/9534095 </v>
      </c>
    </row>
    <row r="24" spans="1:12" ht="39.950000000000003" customHeight="1" x14ac:dyDescent="0.25">
      <c r="A24" s="6" t="s">
        <v>1816</v>
      </c>
      <c r="B24" s="7" t="s">
        <v>1817</v>
      </c>
      <c r="C24" s="8">
        <v>1</v>
      </c>
      <c r="D24" s="9">
        <v>49.99</v>
      </c>
      <c r="E24" s="8" t="s">
        <v>1818</v>
      </c>
      <c r="F24" s="7" t="s">
        <v>2368</v>
      </c>
      <c r="G24" s="10"/>
      <c r="H24" s="7" t="s">
        <v>2369</v>
      </c>
      <c r="I24" s="7" t="s">
        <v>2370</v>
      </c>
      <c r="J24" s="7" t="s">
        <v>2363</v>
      </c>
      <c r="K24" s="7" t="s">
        <v>2385</v>
      </c>
      <c r="L24" s="11" t="str">
        <f>HYPERLINK("http://slimages.macys.com/is/image/MCY/8347198 ")</f>
        <v xml:space="preserve">http://slimages.macys.com/is/image/MCY/8347198 </v>
      </c>
    </row>
    <row r="25" spans="1:12" ht="39.950000000000003" customHeight="1" x14ac:dyDescent="0.25">
      <c r="A25" s="6" t="s">
        <v>2509</v>
      </c>
      <c r="B25" s="7" t="s">
        <v>2510</v>
      </c>
      <c r="C25" s="8">
        <v>1</v>
      </c>
      <c r="D25" s="9">
        <v>49.99</v>
      </c>
      <c r="E25" s="8" t="s">
        <v>2511</v>
      </c>
      <c r="F25" s="7" t="s">
        <v>2512</v>
      </c>
      <c r="G25" s="10"/>
      <c r="H25" s="7" t="s">
        <v>2369</v>
      </c>
      <c r="I25" s="7" t="s">
        <v>2370</v>
      </c>
      <c r="J25" s="7" t="s">
        <v>2363</v>
      </c>
      <c r="K25" s="7" t="s">
        <v>2385</v>
      </c>
      <c r="L25" s="11" t="str">
        <f>HYPERLINK("http://slimages.macys.com/is/image/MCY/8347198 ")</f>
        <v xml:space="preserve">http://slimages.macys.com/is/image/MCY/8347198 </v>
      </c>
    </row>
    <row r="26" spans="1:12" ht="39.950000000000003" customHeight="1" x14ac:dyDescent="0.25">
      <c r="A26" s="6" t="s">
        <v>2709</v>
      </c>
      <c r="B26" s="7" t="s">
        <v>2710</v>
      </c>
      <c r="C26" s="8">
        <v>1</v>
      </c>
      <c r="D26" s="9">
        <v>49.99</v>
      </c>
      <c r="E26" s="8">
        <v>19156329</v>
      </c>
      <c r="F26" s="7" t="s">
        <v>2495</v>
      </c>
      <c r="G26" s="10"/>
      <c r="H26" s="7" t="s">
        <v>2369</v>
      </c>
      <c r="I26" s="7" t="s">
        <v>2370</v>
      </c>
      <c r="J26" s="7" t="s">
        <v>2363</v>
      </c>
      <c r="K26" s="7" t="s">
        <v>2385</v>
      </c>
      <c r="L26" s="11" t="str">
        <f>HYPERLINK("http://slimages.macys.com/is/image/MCY/8347198 ")</f>
        <v xml:space="preserve">http://slimages.macys.com/is/image/MCY/8347198 </v>
      </c>
    </row>
    <row r="27" spans="1:12" ht="39.950000000000003" customHeight="1" x14ac:dyDescent="0.25">
      <c r="A27" s="6" t="s">
        <v>1819</v>
      </c>
      <c r="B27" s="7" t="s">
        <v>1820</v>
      </c>
      <c r="C27" s="8">
        <v>1</v>
      </c>
      <c r="D27" s="9">
        <v>46.99</v>
      </c>
      <c r="E27" s="8">
        <v>55852</v>
      </c>
      <c r="F27" s="7" t="s">
        <v>2655</v>
      </c>
      <c r="G27" s="10"/>
      <c r="H27" s="7" t="s">
        <v>2391</v>
      </c>
      <c r="I27" s="7" t="s">
        <v>2456</v>
      </c>
      <c r="J27" s="7" t="s">
        <v>2363</v>
      </c>
      <c r="K27" s="7" t="s">
        <v>2385</v>
      </c>
      <c r="L27" s="11" t="str">
        <f>HYPERLINK("http://slimages.macys.com/is/image/MCY/14732853 ")</f>
        <v xml:space="preserve">http://slimages.macys.com/is/image/MCY/14732853 </v>
      </c>
    </row>
    <row r="28" spans="1:12" ht="39.950000000000003" customHeight="1" x14ac:dyDescent="0.25">
      <c r="A28" s="6" t="s">
        <v>1821</v>
      </c>
      <c r="B28" s="7" t="s">
        <v>1822</v>
      </c>
      <c r="C28" s="8">
        <v>1</v>
      </c>
      <c r="D28" s="9">
        <v>39.99</v>
      </c>
      <c r="E28" s="8" t="s">
        <v>1823</v>
      </c>
      <c r="F28" s="7" t="s">
        <v>2446</v>
      </c>
      <c r="G28" s="10"/>
      <c r="H28" s="7" t="s">
        <v>2387</v>
      </c>
      <c r="I28" s="7" t="s">
        <v>2404</v>
      </c>
      <c r="J28" s="7"/>
      <c r="K28" s="7"/>
      <c r="L28" s="11" t="str">
        <f>HYPERLINK("http://slimages.macys.com/is/image/MCY/16524334 ")</f>
        <v xml:space="preserve">http://slimages.macys.com/is/image/MCY/16524334 </v>
      </c>
    </row>
    <row r="29" spans="1:12" ht="39.950000000000003" customHeight="1" x14ac:dyDescent="0.25">
      <c r="A29" s="6" t="s">
        <v>1824</v>
      </c>
      <c r="B29" s="7" t="s">
        <v>1825</v>
      </c>
      <c r="C29" s="8">
        <v>1</v>
      </c>
      <c r="D29" s="9">
        <v>79.989999999999995</v>
      </c>
      <c r="E29" s="8" t="s">
        <v>1826</v>
      </c>
      <c r="F29" s="7" t="s">
        <v>2381</v>
      </c>
      <c r="G29" s="10"/>
      <c r="H29" s="7" t="s">
        <v>2357</v>
      </c>
      <c r="I29" s="7" t="s">
        <v>2593</v>
      </c>
      <c r="J29" s="7" t="s">
        <v>2363</v>
      </c>
      <c r="K29" s="7" t="s">
        <v>1827</v>
      </c>
      <c r="L29" s="11" t="str">
        <f>HYPERLINK("http://slimages.macys.com/is/image/MCY/13966634 ")</f>
        <v xml:space="preserve">http://slimages.macys.com/is/image/MCY/13966634 </v>
      </c>
    </row>
    <row r="30" spans="1:12" ht="39.950000000000003" customHeight="1" x14ac:dyDescent="0.25">
      <c r="A30" s="6" t="s">
        <v>1828</v>
      </c>
      <c r="B30" s="7" t="s">
        <v>1829</v>
      </c>
      <c r="C30" s="8">
        <v>1</v>
      </c>
      <c r="D30" s="9">
        <v>69.989999999999995</v>
      </c>
      <c r="E30" s="8" t="s">
        <v>1830</v>
      </c>
      <c r="F30" s="7" t="s">
        <v>2355</v>
      </c>
      <c r="G30" s="10"/>
      <c r="H30" s="7" t="s">
        <v>2357</v>
      </c>
      <c r="I30" s="7" t="s">
        <v>2593</v>
      </c>
      <c r="J30" s="7" t="s">
        <v>2363</v>
      </c>
      <c r="K30" s="7"/>
      <c r="L30" s="11" t="str">
        <f>HYPERLINK("http://slimages.macys.com/is/image/MCY/13118032 ")</f>
        <v xml:space="preserve">http://slimages.macys.com/is/image/MCY/13118032 </v>
      </c>
    </row>
    <row r="31" spans="1:12" ht="39.950000000000003" customHeight="1" x14ac:dyDescent="0.25">
      <c r="A31" s="6" t="s">
        <v>2516</v>
      </c>
      <c r="B31" s="7" t="s">
        <v>2517</v>
      </c>
      <c r="C31" s="8">
        <v>1</v>
      </c>
      <c r="D31" s="9">
        <v>49.99</v>
      </c>
      <c r="E31" s="8" t="s">
        <v>2518</v>
      </c>
      <c r="F31" s="7" t="s">
        <v>2355</v>
      </c>
      <c r="G31" s="10" t="s">
        <v>2519</v>
      </c>
      <c r="H31" s="7" t="s">
        <v>2413</v>
      </c>
      <c r="I31" s="7" t="s">
        <v>2520</v>
      </c>
      <c r="J31" s="7" t="s">
        <v>2363</v>
      </c>
      <c r="K31" s="7"/>
      <c r="L31" s="11" t="str">
        <f>HYPERLINK("http://slimages.macys.com/is/image/MCY/8839662 ")</f>
        <v xml:space="preserve">http://slimages.macys.com/is/image/MCY/8839662 </v>
      </c>
    </row>
    <row r="32" spans="1:12" ht="39.950000000000003" customHeight="1" x14ac:dyDescent="0.25">
      <c r="A32" s="6" t="s">
        <v>1831</v>
      </c>
      <c r="B32" s="7" t="s">
        <v>1832</v>
      </c>
      <c r="C32" s="8">
        <v>1</v>
      </c>
      <c r="D32" s="9">
        <v>40.99</v>
      </c>
      <c r="E32" s="8" t="s">
        <v>1833</v>
      </c>
      <c r="F32" s="7" t="s">
        <v>2446</v>
      </c>
      <c r="G32" s="10"/>
      <c r="H32" s="7" t="s">
        <v>2420</v>
      </c>
      <c r="I32" s="7" t="s">
        <v>1834</v>
      </c>
      <c r="J32" s="7"/>
      <c r="K32" s="7"/>
      <c r="L32" s="11" t="str">
        <f>HYPERLINK("http://slimages.macys.com/is/image/MCY/18142331 ")</f>
        <v xml:space="preserve">http://slimages.macys.com/is/image/MCY/18142331 </v>
      </c>
    </row>
    <row r="33" spans="1:12" ht="39.950000000000003" customHeight="1" x14ac:dyDescent="0.25">
      <c r="A33" s="6" t="s">
        <v>1835</v>
      </c>
      <c r="B33" s="7" t="s">
        <v>1836</v>
      </c>
      <c r="C33" s="8">
        <v>1</v>
      </c>
      <c r="D33" s="9">
        <v>36.99</v>
      </c>
      <c r="E33" s="8" t="s">
        <v>1837</v>
      </c>
      <c r="F33" s="7" t="s">
        <v>2506</v>
      </c>
      <c r="G33" s="10" t="s">
        <v>2726</v>
      </c>
      <c r="H33" s="7" t="s">
        <v>2387</v>
      </c>
      <c r="I33" s="7" t="s">
        <v>2503</v>
      </c>
      <c r="J33" s="7" t="s">
        <v>2363</v>
      </c>
      <c r="K33" s="7" t="s">
        <v>2504</v>
      </c>
      <c r="L33" s="11" t="str">
        <f>HYPERLINK("http://slimages.macys.com/is/image/MCY/12678588 ")</f>
        <v xml:space="preserve">http://slimages.macys.com/is/image/MCY/12678588 </v>
      </c>
    </row>
    <row r="34" spans="1:12" ht="39.950000000000003" customHeight="1" x14ac:dyDescent="0.25">
      <c r="A34" s="6" t="s">
        <v>1838</v>
      </c>
      <c r="B34" s="7" t="s">
        <v>1839</v>
      </c>
      <c r="C34" s="8">
        <v>1</v>
      </c>
      <c r="D34" s="9">
        <v>79.989999999999995</v>
      </c>
      <c r="E34" s="8" t="s">
        <v>1840</v>
      </c>
      <c r="F34" s="7" t="s">
        <v>2362</v>
      </c>
      <c r="G34" s="10"/>
      <c r="H34" s="7" t="s">
        <v>2357</v>
      </c>
      <c r="I34" s="7" t="s">
        <v>2380</v>
      </c>
      <c r="J34" s="7"/>
      <c r="K34" s="7"/>
      <c r="L34" s="11" t="str">
        <f>HYPERLINK("http://slimages.macys.com/is/image/MCY/16688472 ")</f>
        <v xml:space="preserve">http://slimages.macys.com/is/image/MCY/16688472 </v>
      </c>
    </row>
    <row r="35" spans="1:12" ht="39.950000000000003" customHeight="1" x14ac:dyDescent="0.25">
      <c r="A35" s="6" t="s">
        <v>1841</v>
      </c>
      <c r="B35" s="7" t="s">
        <v>1842</v>
      </c>
      <c r="C35" s="8">
        <v>1</v>
      </c>
      <c r="D35" s="9">
        <v>39.99</v>
      </c>
      <c r="E35" s="8" t="s">
        <v>1843</v>
      </c>
      <c r="F35" s="7" t="s">
        <v>2722</v>
      </c>
      <c r="G35" s="10"/>
      <c r="H35" s="7" t="s">
        <v>2391</v>
      </c>
      <c r="I35" s="7" t="s">
        <v>2633</v>
      </c>
      <c r="J35" s="7" t="s">
        <v>2363</v>
      </c>
      <c r="K35" s="7" t="s">
        <v>2634</v>
      </c>
      <c r="L35" s="11" t="str">
        <f>HYPERLINK("http://slimages.macys.com/is/image/MCY/13767378 ")</f>
        <v xml:space="preserve">http://slimages.macys.com/is/image/MCY/13767378 </v>
      </c>
    </row>
    <row r="36" spans="1:12" ht="39.950000000000003" customHeight="1" x14ac:dyDescent="0.25">
      <c r="A36" s="6" t="s">
        <v>2946</v>
      </c>
      <c r="B36" s="7" t="s">
        <v>2947</v>
      </c>
      <c r="C36" s="8">
        <v>1</v>
      </c>
      <c r="D36" s="9">
        <v>29.99</v>
      </c>
      <c r="E36" s="8" t="s">
        <v>2948</v>
      </c>
      <c r="F36" s="7" t="s">
        <v>2362</v>
      </c>
      <c r="G36" s="10"/>
      <c r="H36" s="7" t="s">
        <v>2548</v>
      </c>
      <c r="I36" s="7" t="s">
        <v>2549</v>
      </c>
      <c r="J36" s="7" t="s">
        <v>2363</v>
      </c>
      <c r="K36" s="7" t="s">
        <v>2405</v>
      </c>
      <c r="L36" s="11" t="str">
        <f>HYPERLINK("http://slimages.macys.com/is/image/MCY/9408114 ")</f>
        <v xml:space="preserve">http://slimages.macys.com/is/image/MCY/9408114 </v>
      </c>
    </row>
    <row r="37" spans="1:12" ht="39.950000000000003" customHeight="1" x14ac:dyDescent="0.25">
      <c r="A37" s="6" t="s">
        <v>1647</v>
      </c>
      <c r="B37" s="7" t="s">
        <v>1648</v>
      </c>
      <c r="C37" s="8">
        <v>1</v>
      </c>
      <c r="D37" s="9">
        <v>32.99</v>
      </c>
      <c r="E37" s="8" t="s">
        <v>1649</v>
      </c>
      <c r="F37" s="7" t="s">
        <v>2368</v>
      </c>
      <c r="G37" s="10"/>
      <c r="H37" s="7" t="s">
        <v>2391</v>
      </c>
      <c r="I37" s="7" t="s">
        <v>2515</v>
      </c>
      <c r="J37" s="7" t="s">
        <v>2363</v>
      </c>
      <c r="K37" s="7" t="s">
        <v>2385</v>
      </c>
      <c r="L37" s="11" t="str">
        <f>HYPERLINK("http://slimages.macys.com/is/image/MCY/9170298 ")</f>
        <v xml:space="preserve">http://slimages.macys.com/is/image/MCY/9170298 </v>
      </c>
    </row>
    <row r="38" spans="1:12" ht="39.950000000000003" customHeight="1" x14ac:dyDescent="0.25">
      <c r="A38" s="6" t="s">
        <v>1844</v>
      </c>
      <c r="B38" s="7" t="s">
        <v>1845</v>
      </c>
      <c r="C38" s="8">
        <v>1</v>
      </c>
      <c r="D38" s="9">
        <v>41.99</v>
      </c>
      <c r="E38" s="8" t="s">
        <v>2990</v>
      </c>
      <c r="F38" s="7" t="s">
        <v>2475</v>
      </c>
      <c r="G38" s="10"/>
      <c r="H38" s="7" t="s">
        <v>2545</v>
      </c>
      <c r="I38" s="7" t="s">
        <v>2546</v>
      </c>
      <c r="J38" s="7"/>
      <c r="K38" s="7" t="s">
        <v>1509</v>
      </c>
      <c r="L38" s="11" t="str">
        <f>HYPERLINK("http://slimages.macys.com/is/image/MCY/9489266 ")</f>
        <v xml:space="preserve">http://slimages.macys.com/is/image/MCY/9489266 </v>
      </c>
    </row>
    <row r="39" spans="1:12" ht="39.950000000000003" customHeight="1" x14ac:dyDescent="0.25">
      <c r="A39" s="6" t="s">
        <v>1846</v>
      </c>
      <c r="B39" s="7" t="s">
        <v>1847</v>
      </c>
      <c r="C39" s="8">
        <v>1</v>
      </c>
      <c r="D39" s="9">
        <v>49.99</v>
      </c>
      <c r="E39" s="8">
        <v>130414</v>
      </c>
      <c r="F39" s="7" t="s">
        <v>2534</v>
      </c>
      <c r="G39" s="10"/>
      <c r="H39" s="7" t="s">
        <v>2447</v>
      </c>
      <c r="I39" s="7" t="s">
        <v>2448</v>
      </c>
      <c r="J39" s="7" t="s">
        <v>2363</v>
      </c>
      <c r="K39" s="7" t="s">
        <v>2449</v>
      </c>
      <c r="L39" s="11" t="str">
        <f>HYPERLINK("http://slimages.macys.com/is/image/MCY/15717993 ")</f>
        <v xml:space="preserve">http://slimages.macys.com/is/image/MCY/15717993 </v>
      </c>
    </row>
    <row r="40" spans="1:12" ht="39.950000000000003" customHeight="1" x14ac:dyDescent="0.25">
      <c r="A40" s="6" t="s">
        <v>1848</v>
      </c>
      <c r="B40" s="7" t="s">
        <v>1849</v>
      </c>
      <c r="C40" s="8">
        <v>1</v>
      </c>
      <c r="D40" s="9">
        <v>44.99</v>
      </c>
      <c r="E40" s="8" t="s">
        <v>1850</v>
      </c>
      <c r="F40" s="7" t="s">
        <v>2615</v>
      </c>
      <c r="G40" s="10"/>
      <c r="H40" s="7" t="s">
        <v>2375</v>
      </c>
      <c r="I40" s="7" t="s">
        <v>2376</v>
      </c>
      <c r="J40" s="7"/>
      <c r="K40" s="7"/>
      <c r="L40" s="11" t="str">
        <f>HYPERLINK("http://slimages.macys.com/is/image/MCY/17451314 ")</f>
        <v xml:space="preserve">http://slimages.macys.com/is/image/MCY/17451314 </v>
      </c>
    </row>
    <row r="41" spans="1:12" ht="39.950000000000003" customHeight="1" x14ac:dyDescent="0.25">
      <c r="A41" s="6" t="s">
        <v>2670</v>
      </c>
      <c r="B41" s="7" t="s">
        <v>2671</v>
      </c>
      <c r="C41" s="8">
        <v>1</v>
      </c>
      <c r="D41" s="9">
        <v>29.99</v>
      </c>
      <c r="E41" s="8" t="s">
        <v>2672</v>
      </c>
      <c r="F41" s="7" t="s">
        <v>2512</v>
      </c>
      <c r="G41" s="10"/>
      <c r="H41" s="7" t="s">
        <v>2369</v>
      </c>
      <c r="I41" s="7" t="s">
        <v>2370</v>
      </c>
      <c r="J41" s="7" t="s">
        <v>2363</v>
      </c>
      <c r="K41" s="7" t="s">
        <v>2513</v>
      </c>
      <c r="L41" s="11" t="str">
        <f>HYPERLINK("http://slimages.macys.com/is/image/MCY/9700679 ")</f>
        <v xml:space="preserve">http://slimages.macys.com/is/image/MCY/9700679 </v>
      </c>
    </row>
    <row r="42" spans="1:12" ht="39.950000000000003" customHeight="1" x14ac:dyDescent="0.25">
      <c r="A42" s="6" t="s">
        <v>1396</v>
      </c>
      <c r="B42" s="7" t="s">
        <v>1397</v>
      </c>
      <c r="C42" s="8">
        <v>2</v>
      </c>
      <c r="D42" s="9">
        <v>59.98</v>
      </c>
      <c r="E42" s="8" t="s">
        <v>1398</v>
      </c>
      <c r="F42" s="7" t="s">
        <v>2495</v>
      </c>
      <c r="G42" s="10"/>
      <c r="H42" s="7" t="s">
        <v>2391</v>
      </c>
      <c r="I42" s="7" t="s">
        <v>2550</v>
      </c>
      <c r="J42" s="7" t="s">
        <v>2363</v>
      </c>
      <c r="K42" s="7" t="s">
        <v>1399</v>
      </c>
      <c r="L42" s="11" t="str">
        <f>HYPERLINK("http://slimages.macys.com/is/image/MCY/3675413 ")</f>
        <v xml:space="preserve">http://slimages.macys.com/is/image/MCY/3675413 </v>
      </c>
    </row>
    <row r="43" spans="1:12" ht="39.950000000000003" customHeight="1" x14ac:dyDescent="0.25">
      <c r="A43" s="6" t="s">
        <v>1851</v>
      </c>
      <c r="B43" s="7" t="s">
        <v>1852</v>
      </c>
      <c r="C43" s="8">
        <v>1</v>
      </c>
      <c r="D43" s="9">
        <v>22.99</v>
      </c>
      <c r="E43" s="8" t="s">
        <v>1853</v>
      </c>
      <c r="F43" s="7" t="s">
        <v>2386</v>
      </c>
      <c r="G43" s="10"/>
      <c r="H43" s="7" t="s">
        <v>2532</v>
      </c>
      <c r="I43" s="7" t="s">
        <v>2543</v>
      </c>
      <c r="J43" s="7" t="s">
        <v>2363</v>
      </c>
      <c r="K43" s="7" t="s">
        <v>2544</v>
      </c>
      <c r="L43" s="11" t="str">
        <f>HYPERLINK("http://slimages.macys.com/is/image/MCY/13533939 ")</f>
        <v xml:space="preserve">http://slimages.macys.com/is/image/MCY/13533939 </v>
      </c>
    </row>
    <row r="44" spans="1:12" ht="39.950000000000003" customHeight="1" x14ac:dyDescent="0.25">
      <c r="A44" s="6" t="s">
        <v>1854</v>
      </c>
      <c r="B44" s="7" t="s">
        <v>3303</v>
      </c>
      <c r="C44" s="8">
        <v>1</v>
      </c>
      <c r="D44" s="9">
        <v>35.99</v>
      </c>
      <c r="E44" s="8" t="s">
        <v>3304</v>
      </c>
      <c r="F44" s="7" t="s">
        <v>2495</v>
      </c>
      <c r="G44" s="10" t="s">
        <v>2410</v>
      </c>
      <c r="H44" s="7" t="s">
        <v>2545</v>
      </c>
      <c r="I44" s="7" t="s">
        <v>2546</v>
      </c>
      <c r="J44" s="7" t="s">
        <v>2496</v>
      </c>
      <c r="K44" s="7" t="s">
        <v>2385</v>
      </c>
      <c r="L44" s="11" t="str">
        <f>HYPERLINK("http://slimages.macys.com/is/image/MCY/9489266 ")</f>
        <v xml:space="preserve">http://slimages.macys.com/is/image/MCY/9489266 </v>
      </c>
    </row>
    <row r="45" spans="1:12" ht="39.950000000000003" customHeight="1" x14ac:dyDescent="0.25">
      <c r="A45" s="6" t="s">
        <v>1855</v>
      </c>
      <c r="B45" s="7" t="s">
        <v>1856</v>
      </c>
      <c r="C45" s="8">
        <v>1</v>
      </c>
      <c r="D45" s="9">
        <v>34.99</v>
      </c>
      <c r="E45" s="8" t="s">
        <v>1857</v>
      </c>
      <c r="F45" s="7" t="s">
        <v>2933</v>
      </c>
      <c r="G45" s="10"/>
      <c r="H45" s="7" t="s">
        <v>2375</v>
      </c>
      <c r="I45" s="7" t="s">
        <v>2376</v>
      </c>
      <c r="J45" s="7"/>
      <c r="K45" s="7"/>
      <c r="L45" s="11" t="str">
        <f>HYPERLINK("http://slimages.macys.com/is/image/MCY/17450469 ")</f>
        <v xml:space="preserve">http://slimages.macys.com/is/image/MCY/17450469 </v>
      </c>
    </row>
    <row r="46" spans="1:12" ht="39.950000000000003" customHeight="1" x14ac:dyDescent="0.25">
      <c r="A46" s="6" t="s">
        <v>1858</v>
      </c>
      <c r="B46" s="7" t="s">
        <v>1859</v>
      </c>
      <c r="C46" s="8">
        <v>1</v>
      </c>
      <c r="D46" s="9">
        <v>18.989999999999998</v>
      </c>
      <c r="E46" s="8" t="s">
        <v>1860</v>
      </c>
      <c r="F46" s="7" t="s">
        <v>2446</v>
      </c>
      <c r="G46" s="10"/>
      <c r="H46" s="7" t="s">
        <v>2387</v>
      </c>
      <c r="I46" s="7" t="s">
        <v>2748</v>
      </c>
      <c r="J46" s="7" t="s">
        <v>2363</v>
      </c>
      <c r="K46" s="7" t="s">
        <v>2749</v>
      </c>
      <c r="L46" s="11" t="str">
        <f>HYPERLINK("http://slimages.macys.com/is/image/MCY/13743524 ")</f>
        <v xml:space="preserve">http://slimages.macys.com/is/image/MCY/13743524 </v>
      </c>
    </row>
    <row r="47" spans="1:12" ht="39.950000000000003" customHeight="1" x14ac:dyDescent="0.25">
      <c r="A47" s="6" t="s">
        <v>1861</v>
      </c>
      <c r="B47" s="7" t="s">
        <v>1862</v>
      </c>
      <c r="C47" s="8">
        <v>1</v>
      </c>
      <c r="D47" s="9">
        <v>29.99</v>
      </c>
      <c r="E47" s="8" t="s">
        <v>1863</v>
      </c>
      <c r="F47" s="7" t="s">
        <v>2468</v>
      </c>
      <c r="G47" s="10" t="s">
        <v>2606</v>
      </c>
      <c r="H47" s="7" t="s">
        <v>2413</v>
      </c>
      <c r="I47" s="7" t="s">
        <v>2555</v>
      </c>
      <c r="J47" s="7" t="s">
        <v>2363</v>
      </c>
      <c r="K47" s="7" t="s">
        <v>2865</v>
      </c>
      <c r="L47" s="11" t="str">
        <f>HYPERLINK("http://slimages.macys.com/is/image/MCY/256335 ")</f>
        <v xml:space="preserve">http://slimages.macys.com/is/image/MCY/256335 </v>
      </c>
    </row>
    <row r="48" spans="1:12" ht="39.950000000000003" customHeight="1" x14ac:dyDescent="0.25">
      <c r="A48" s="6" t="s">
        <v>1864</v>
      </c>
      <c r="B48" s="7" t="s">
        <v>1865</v>
      </c>
      <c r="C48" s="8">
        <v>2</v>
      </c>
      <c r="D48" s="9">
        <v>31.98</v>
      </c>
      <c r="E48" s="8" t="s">
        <v>1866</v>
      </c>
      <c r="F48" s="7" t="s">
        <v>2381</v>
      </c>
      <c r="G48" s="10" t="s">
        <v>2469</v>
      </c>
      <c r="H48" s="7" t="s">
        <v>2387</v>
      </c>
      <c r="I48" s="7" t="s">
        <v>2777</v>
      </c>
      <c r="J48" s="7" t="s">
        <v>2363</v>
      </c>
      <c r="K48" s="7" t="s">
        <v>2385</v>
      </c>
      <c r="L48" s="11" t="str">
        <f>HYPERLINK("http://slimages.macys.com/is/image/MCY/13057621 ")</f>
        <v xml:space="preserve">http://slimages.macys.com/is/image/MCY/13057621 </v>
      </c>
    </row>
    <row r="49" spans="1:12" ht="39.950000000000003" customHeight="1" x14ac:dyDescent="0.25">
      <c r="A49" s="6" t="s">
        <v>1867</v>
      </c>
      <c r="B49" s="7" t="s">
        <v>1868</v>
      </c>
      <c r="C49" s="8">
        <v>1</v>
      </c>
      <c r="D49" s="9">
        <v>19.989999999999998</v>
      </c>
      <c r="E49" s="8" t="s">
        <v>1869</v>
      </c>
      <c r="F49" s="7"/>
      <c r="G49" s="10"/>
      <c r="H49" s="7" t="s">
        <v>2532</v>
      </c>
      <c r="I49" s="7" t="s">
        <v>2409</v>
      </c>
      <c r="J49" s="7" t="s">
        <v>2363</v>
      </c>
      <c r="K49" s="7" t="s">
        <v>2421</v>
      </c>
      <c r="L49" s="11" t="str">
        <f>HYPERLINK("http://slimages.macys.com/is/image/MCY/16685185 ")</f>
        <v xml:space="preserve">http://slimages.macys.com/is/image/MCY/16685185 </v>
      </c>
    </row>
    <row r="50" spans="1:12" ht="39.950000000000003" customHeight="1" x14ac:dyDescent="0.25">
      <c r="A50" s="6" t="s">
        <v>1870</v>
      </c>
      <c r="B50" s="7" t="s">
        <v>1871</v>
      </c>
      <c r="C50" s="8">
        <v>1</v>
      </c>
      <c r="D50" s="9">
        <v>15.99</v>
      </c>
      <c r="E50" s="8">
        <v>57783</v>
      </c>
      <c r="F50" s="7" t="s">
        <v>2615</v>
      </c>
      <c r="G50" s="10"/>
      <c r="H50" s="7" t="s">
        <v>2391</v>
      </c>
      <c r="I50" s="7" t="s">
        <v>2456</v>
      </c>
      <c r="J50" s="7" t="s">
        <v>2363</v>
      </c>
      <c r="K50" s="7" t="s">
        <v>2385</v>
      </c>
      <c r="L50" s="11" t="str">
        <f>HYPERLINK("http://slimages.macys.com/is/image/MCY/9590340 ")</f>
        <v xml:space="preserve">http://slimages.macys.com/is/image/MCY/9590340 </v>
      </c>
    </row>
    <row r="51" spans="1:12" ht="39.950000000000003" customHeight="1" x14ac:dyDescent="0.25">
      <c r="A51" s="6" t="s">
        <v>1872</v>
      </c>
      <c r="B51" s="7" t="s">
        <v>1873</v>
      </c>
      <c r="C51" s="8">
        <v>1</v>
      </c>
      <c r="D51" s="9">
        <v>29.99</v>
      </c>
      <c r="E51" s="8" t="s">
        <v>1874</v>
      </c>
      <c r="F51" s="7" t="s">
        <v>2368</v>
      </c>
      <c r="G51" s="10"/>
      <c r="H51" s="7" t="s">
        <v>2375</v>
      </c>
      <c r="I51" s="7" t="s">
        <v>2376</v>
      </c>
      <c r="J51" s="7" t="s">
        <v>2363</v>
      </c>
      <c r="K51" s="7"/>
      <c r="L51" s="11" t="str">
        <f>HYPERLINK("http://slimages.macys.com/is/image/MCY/16633330 ")</f>
        <v xml:space="preserve">http://slimages.macys.com/is/image/MCY/16633330 </v>
      </c>
    </row>
    <row r="52" spans="1:12" ht="39.950000000000003" customHeight="1" x14ac:dyDescent="0.25">
      <c r="A52" s="6" t="s">
        <v>1875</v>
      </c>
      <c r="B52" s="7" t="s">
        <v>1876</v>
      </c>
      <c r="C52" s="8">
        <v>1</v>
      </c>
      <c r="D52" s="9">
        <v>14.99</v>
      </c>
      <c r="E52" s="8">
        <v>47753</v>
      </c>
      <c r="F52" s="7" t="s">
        <v>2615</v>
      </c>
      <c r="G52" s="10"/>
      <c r="H52" s="7" t="s">
        <v>2391</v>
      </c>
      <c r="I52" s="7" t="s">
        <v>2456</v>
      </c>
      <c r="J52" s="7" t="s">
        <v>2363</v>
      </c>
      <c r="K52" s="7" t="s">
        <v>2385</v>
      </c>
      <c r="L52" s="11" t="str">
        <f>HYPERLINK("http://slimages.macys.com/is/image/MCY/9058123 ")</f>
        <v xml:space="preserve">http://slimages.macys.com/is/image/MCY/9058123 </v>
      </c>
    </row>
    <row r="53" spans="1:12" ht="39.950000000000003" customHeight="1" x14ac:dyDescent="0.25">
      <c r="A53" s="6" t="s">
        <v>2607</v>
      </c>
      <c r="B53" s="7" t="s">
        <v>2608</v>
      </c>
      <c r="C53" s="8">
        <v>1</v>
      </c>
      <c r="D53" s="9">
        <v>14.99</v>
      </c>
      <c r="E53" s="8" t="s">
        <v>2609</v>
      </c>
      <c r="F53" s="7" t="s">
        <v>2403</v>
      </c>
      <c r="G53" s="10" t="s">
        <v>2610</v>
      </c>
      <c r="H53" s="7" t="s">
        <v>2391</v>
      </c>
      <c r="I53" s="7" t="s">
        <v>2418</v>
      </c>
      <c r="J53" s="7"/>
      <c r="K53" s="7"/>
      <c r="L53" s="11" t="str">
        <f>HYPERLINK("http://slimages.macys.com/is/image/MCY/17620637 ")</f>
        <v xml:space="preserve">http://slimages.macys.com/is/image/MCY/17620637 </v>
      </c>
    </row>
    <row r="54" spans="1:12" ht="39.950000000000003" customHeight="1" x14ac:dyDescent="0.25">
      <c r="A54" s="6" t="s">
        <v>1877</v>
      </c>
      <c r="B54" s="7" t="s">
        <v>1878</v>
      </c>
      <c r="C54" s="8">
        <v>1</v>
      </c>
      <c r="D54" s="9">
        <v>34.99</v>
      </c>
      <c r="E54" s="8" t="s">
        <v>2809</v>
      </c>
      <c r="F54" s="7" t="s">
        <v>2355</v>
      </c>
      <c r="G54" s="10"/>
      <c r="H54" s="7" t="s">
        <v>2548</v>
      </c>
      <c r="I54" s="7" t="s">
        <v>2638</v>
      </c>
      <c r="J54" s="7" t="s">
        <v>2363</v>
      </c>
      <c r="K54" s="7"/>
      <c r="L54" s="11" t="str">
        <f>HYPERLINK("http://slimages.macys.com/is/image/MCY/9513140 ")</f>
        <v xml:space="preserve">http://slimages.macys.com/is/image/MCY/9513140 </v>
      </c>
    </row>
    <row r="55" spans="1:12" ht="39.950000000000003" customHeight="1" x14ac:dyDescent="0.25">
      <c r="A55" s="6" t="s">
        <v>2884</v>
      </c>
      <c r="B55" s="7" t="s">
        <v>2885</v>
      </c>
      <c r="C55" s="8">
        <v>1</v>
      </c>
      <c r="D55" s="9">
        <v>9.99</v>
      </c>
      <c r="E55" s="8" t="s">
        <v>2886</v>
      </c>
      <c r="F55" s="7" t="s">
        <v>2468</v>
      </c>
      <c r="G55" s="10"/>
      <c r="H55" s="7" t="s">
        <v>2413</v>
      </c>
      <c r="I55" s="7" t="s">
        <v>2555</v>
      </c>
      <c r="J55" s="7" t="s">
        <v>2496</v>
      </c>
      <c r="K55" s="7" t="s">
        <v>2887</v>
      </c>
      <c r="L55" s="11" t="str">
        <f>HYPERLINK("http://slimages.macys.com/is/image/MCY/2831820 ")</f>
        <v xml:space="preserve">http://slimages.macys.com/is/image/MCY/2831820 </v>
      </c>
    </row>
    <row r="56" spans="1:12" ht="39.950000000000003" customHeight="1" x14ac:dyDescent="0.25">
      <c r="A56" s="6" t="s">
        <v>1879</v>
      </c>
      <c r="B56" s="7" t="s">
        <v>1880</v>
      </c>
      <c r="C56" s="8">
        <v>1</v>
      </c>
      <c r="D56" s="9">
        <v>9.99</v>
      </c>
      <c r="E56" s="8" t="s">
        <v>1881</v>
      </c>
      <c r="F56" s="7" t="s">
        <v>2495</v>
      </c>
      <c r="G56" s="10"/>
      <c r="H56" s="7" t="s">
        <v>2391</v>
      </c>
      <c r="I56" s="7" t="s">
        <v>2653</v>
      </c>
      <c r="J56" s="7"/>
      <c r="K56" s="7"/>
      <c r="L56" s="11" t="str">
        <f>HYPERLINK("http://slimages.macys.com/is/image/MCY/17995889 ")</f>
        <v xml:space="preserve">http://slimages.macys.com/is/image/MCY/17995889 </v>
      </c>
    </row>
    <row r="57" spans="1:12" ht="39.950000000000003" customHeight="1" x14ac:dyDescent="0.25">
      <c r="A57" s="6" t="s">
        <v>1882</v>
      </c>
      <c r="B57" s="7" t="s">
        <v>1883</v>
      </c>
      <c r="C57" s="8">
        <v>1</v>
      </c>
      <c r="D57" s="9">
        <v>133.74</v>
      </c>
      <c r="E57" s="8" t="s">
        <v>1884</v>
      </c>
      <c r="F57" s="7" t="s">
        <v>2355</v>
      </c>
      <c r="G57" s="10"/>
      <c r="H57" s="7" t="s">
        <v>2369</v>
      </c>
      <c r="I57" s="7" t="s">
        <v>1885</v>
      </c>
      <c r="J57" s="7"/>
      <c r="K57" s="7"/>
      <c r="L57" s="11"/>
    </row>
    <row r="58" spans="1:12" ht="39.950000000000003" customHeight="1" x14ac:dyDescent="0.25">
      <c r="A58" s="6" t="s">
        <v>2466</v>
      </c>
      <c r="B58" s="7" t="s">
        <v>2467</v>
      </c>
      <c r="C58" s="8">
        <v>4</v>
      </c>
      <c r="D58" s="9">
        <v>160</v>
      </c>
      <c r="E58" s="8"/>
      <c r="F58" s="7" t="s">
        <v>2468</v>
      </c>
      <c r="G58" s="10" t="s">
        <v>2469</v>
      </c>
      <c r="H58" s="7" t="s">
        <v>2470</v>
      </c>
      <c r="I58" s="7" t="s">
        <v>2471</v>
      </c>
      <c r="J58" s="7"/>
      <c r="K58" s="7"/>
      <c r="L58" s="1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Summary </vt:lpstr>
      <vt:lpstr>Pallet 1</vt:lpstr>
      <vt:lpstr>Pallet 2</vt:lpstr>
      <vt:lpstr>Pallet 3</vt:lpstr>
      <vt:lpstr>Pallet 4</vt:lpstr>
      <vt:lpstr>Pallet 5</vt:lpstr>
      <vt:lpstr>Pallet 6</vt:lpstr>
      <vt:lpstr>Pallet 7</vt:lpstr>
      <vt:lpstr>Pallet 8</vt:lpstr>
      <vt:lpstr>Pallet 9</vt:lpstr>
      <vt:lpstr>Pallet 10</vt:lpstr>
      <vt:lpstr>Pallet 11</vt:lpstr>
      <vt:lpstr>Pallet 12</vt:lpstr>
      <vt:lpstr>Pallet 13</vt:lpstr>
      <vt:lpstr>Pallet 14</vt:lpstr>
      <vt:lpstr>Pallet 15</vt:lpstr>
      <vt:lpstr>Pallet 16</vt:lpstr>
      <vt:lpstr>Pallet 17</vt:lpstr>
      <vt:lpstr>Pallet 18</vt:lpstr>
      <vt:lpstr>Pallet 19</vt:lpstr>
      <vt:lpstr>Pallet 20</vt:lpstr>
      <vt:lpstr>Pallet 21</vt:lpstr>
      <vt:lpstr>Pallet 22</vt:lpstr>
      <vt:lpstr>Pallet 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2021-04-27T14:20:11Z</dcterms:created>
  <dcterms:modified xsi:type="dcterms:W3CDTF">2021-05-24T15:09:16Z</dcterms:modified>
</cp:coreProperties>
</file>